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C Finances\WEC FY25-26 Budget\"/>
    </mc:Choice>
  </mc:AlternateContent>
  <xr:revisionPtr revIDLastSave="0" documentId="13_ncr:1_{7E626128-6B3C-4F08-8C2D-479F31A2BA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-2026" sheetId="13" r:id="rId1"/>
    <sheet name="2022-2023" sheetId="11" state="hidden" r:id="rId2"/>
    <sheet name="2021-2022" sheetId="12" state="hidden" r:id="rId3"/>
    <sheet name="2020-2021 rates" sheetId="10" state="hidden" r:id="rId4"/>
    <sheet name="2019-2020 rates" sheetId="9" state="hidden" r:id="rId5"/>
    <sheet name="2018-2019 rates" sheetId="7" state="hidden" r:id="rId6"/>
    <sheet name="2017-18 rates" sheetId="8" state="hidden" r:id="rId7"/>
    <sheet name="2016-17 rates" sheetId="6" state="hidden" r:id="rId8"/>
    <sheet name="2015-16 rates" sheetId="5" state="hidden" r:id="rId9"/>
    <sheet name="2014-15 rates" sheetId="4" state="hidden" r:id="rId10"/>
    <sheet name="2013-14 tuition rates" sheetId="2" state="hidden" r:id="rId11"/>
    <sheet name="2011-12 academic year" sheetId="1" state="hidden" r:id="rId12"/>
  </sheets>
  <definedNames>
    <definedName name="_xlnm.Print_Area" localSheetId="7">'2016-17 rates'!$A$1:$H$54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3" l="1"/>
  <c r="B31" i="13"/>
  <c r="B32" i="13" s="1"/>
  <c r="B33" i="13" s="1"/>
  <c r="B34" i="13" s="1"/>
  <c r="B35" i="13" s="1"/>
  <c r="G18" i="13" s="1"/>
  <c r="G13" i="13"/>
  <c r="H13" i="13" s="1"/>
  <c r="E30" i="13"/>
  <c r="E27" i="13"/>
  <c r="D27" i="13"/>
  <c r="C27" i="13"/>
  <c r="M7" i="13"/>
  <c r="L7" i="13"/>
  <c r="K7" i="13"/>
  <c r="H7" i="13"/>
  <c r="I7" i="13" s="1"/>
  <c r="E7" i="13"/>
  <c r="F7" i="13" s="1"/>
  <c r="M6" i="13"/>
  <c r="L6" i="13"/>
  <c r="H6" i="13"/>
  <c r="I6" i="13" s="1"/>
  <c r="E6" i="13"/>
  <c r="F6" i="13" s="1"/>
  <c r="F93" i="12"/>
  <c r="F92" i="12"/>
  <c r="F91" i="12"/>
  <c r="F94" i="12"/>
  <c r="F87" i="12"/>
  <c r="M21" i="12"/>
  <c r="F86" i="12"/>
  <c r="L9" i="12"/>
  <c r="L11" i="12"/>
  <c r="F85" i="12"/>
  <c r="F88" i="12"/>
  <c r="E79" i="12"/>
  <c r="E64" i="12"/>
  <c r="E65" i="12"/>
  <c r="E66" i="12"/>
  <c r="E67" i="12"/>
  <c r="E63" i="12"/>
  <c r="M47" i="12"/>
  <c r="L47" i="12"/>
  <c r="K47" i="12"/>
  <c r="A45" i="12"/>
  <c r="M42" i="12"/>
  <c r="L42" i="12"/>
  <c r="K42" i="12"/>
  <c r="M37" i="12"/>
  <c r="L37" i="12"/>
  <c r="K37" i="12"/>
  <c r="F29" i="12"/>
  <c r="G29" i="12"/>
  <c r="G28" i="12"/>
  <c r="F28" i="12"/>
  <c r="G27" i="12"/>
  <c r="F27" i="12"/>
  <c r="F26" i="12"/>
  <c r="G26" i="12"/>
  <c r="F25" i="12"/>
  <c r="G25" i="12"/>
  <c r="G24" i="12"/>
  <c r="F24" i="12"/>
  <c r="K21" i="12"/>
  <c r="F19" i="12"/>
  <c r="G19" i="12"/>
  <c r="L18" i="12"/>
  <c r="K18" i="12"/>
  <c r="G18" i="12"/>
  <c r="F18" i="12"/>
  <c r="M17" i="12"/>
  <c r="L17" i="12"/>
  <c r="K17" i="12"/>
  <c r="K23" i="12"/>
  <c r="F17" i="12"/>
  <c r="G17" i="12"/>
  <c r="G16" i="12"/>
  <c r="F16" i="12"/>
  <c r="F15" i="12"/>
  <c r="G15" i="12"/>
  <c r="F14" i="12"/>
  <c r="G14" i="12"/>
  <c r="K11" i="12"/>
  <c r="M9" i="12"/>
  <c r="K9" i="12"/>
  <c r="L6" i="12"/>
  <c r="K6" i="12"/>
  <c r="M5" i="12"/>
  <c r="M6" i="12"/>
  <c r="M11" i="12"/>
  <c r="L5" i="12"/>
  <c r="K5" i="12"/>
  <c r="L17" i="11"/>
  <c r="L18" i="11"/>
  <c r="K17" i="11"/>
  <c r="K32" i="11"/>
  <c r="F93" i="11"/>
  <c r="F92" i="11"/>
  <c r="F91" i="11"/>
  <c r="F94" i="11"/>
  <c r="F88" i="11"/>
  <c r="E79" i="11"/>
  <c r="E65" i="11"/>
  <c r="E66" i="11"/>
  <c r="E67" i="11"/>
  <c r="E64" i="11"/>
  <c r="E63" i="11"/>
  <c r="M47" i="11"/>
  <c r="L47" i="11"/>
  <c r="K47" i="11"/>
  <c r="A45" i="11"/>
  <c r="M42" i="11"/>
  <c r="L42" i="11"/>
  <c r="K42" i="11"/>
  <c r="M37" i="11"/>
  <c r="L37" i="11"/>
  <c r="K37" i="11"/>
  <c r="F29" i="11"/>
  <c r="G29" i="11"/>
  <c r="F28" i="11"/>
  <c r="G28" i="11"/>
  <c r="F27" i="11"/>
  <c r="G27" i="11"/>
  <c r="F26" i="11"/>
  <c r="G26" i="11"/>
  <c r="G25" i="11"/>
  <c r="F25" i="11"/>
  <c r="F24" i="11"/>
  <c r="G24" i="11"/>
  <c r="M21" i="11"/>
  <c r="L21" i="11"/>
  <c r="K21" i="11"/>
  <c r="K23" i="11"/>
  <c r="L25" i="11"/>
  <c r="G19" i="11"/>
  <c r="F19" i="11"/>
  <c r="F18" i="11"/>
  <c r="G18" i="11"/>
  <c r="M17" i="11"/>
  <c r="M18" i="11"/>
  <c r="M23" i="11"/>
  <c r="F17" i="11"/>
  <c r="G17" i="11"/>
  <c r="F16" i="11"/>
  <c r="G16" i="11"/>
  <c r="F15" i="11"/>
  <c r="G15" i="11"/>
  <c r="G14" i="11"/>
  <c r="F14" i="11"/>
  <c r="M9" i="11"/>
  <c r="L9" i="11"/>
  <c r="K9" i="11"/>
  <c r="K11" i="11"/>
  <c r="L13" i="11"/>
  <c r="M6" i="11"/>
  <c r="M11" i="11"/>
  <c r="M5" i="11"/>
  <c r="L5" i="11"/>
  <c r="L6" i="11"/>
  <c r="L11" i="11"/>
  <c r="K5" i="11"/>
  <c r="K6" i="11"/>
  <c r="M37" i="10"/>
  <c r="M17" i="10"/>
  <c r="M18" i="10"/>
  <c r="L17" i="10"/>
  <c r="L18" i="10"/>
  <c r="K17" i="10"/>
  <c r="K18" i="10"/>
  <c r="M5" i="10"/>
  <c r="M6" i="10"/>
  <c r="K5" i="10"/>
  <c r="K6" i="10"/>
  <c r="L5" i="10"/>
  <c r="L6" i="10"/>
  <c r="A45" i="10"/>
  <c r="F93" i="10"/>
  <c r="F92" i="10"/>
  <c r="F91" i="10"/>
  <c r="F87" i="10"/>
  <c r="M9" i="10"/>
  <c r="M11" i="10"/>
  <c r="F86" i="10"/>
  <c r="L9" i="10"/>
  <c r="L11" i="10"/>
  <c r="F85" i="10"/>
  <c r="K9" i="10"/>
  <c r="K11" i="10"/>
  <c r="E79" i="10"/>
  <c r="E63" i="10"/>
  <c r="E64" i="10"/>
  <c r="E65" i="10"/>
  <c r="E66" i="10"/>
  <c r="E67" i="10"/>
  <c r="M47" i="10"/>
  <c r="L47" i="10"/>
  <c r="K47" i="10"/>
  <c r="M42" i="10"/>
  <c r="L42" i="10"/>
  <c r="K42" i="10"/>
  <c r="L37" i="10"/>
  <c r="K37" i="10"/>
  <c r="F29" i="10"/>
  <c r="G29" i="10"/>
  <c r="F28" i="10"/>
  <c r="G28" i="10"/>
  <c r="F27" i="10"/>
  <c r="G27" i="10"/>
  <c r="F26" i="10"/>
  <c r="G26" i="10"/>
  <c r="F25" i="10"/>
  <c r="G25" i="10"/>
  <c r="F24" i="10"/>
  <c r="G24" i="10"/>
  <c r="F19" i="10"/>
  <c r="G19" i="10"/>
  <c r="F18" i="10"/>
  <c r="G18" i="10"/>
  <c r="F17" i="10"/>
  <c r="G17" i="10"/>
  <c r="F16" i="10"/>
  <c r="G16" i="10"/>
  <c r="F15" i="10"/>
  <c r="G15" i="10"/>
  <c r="F14" i="10"/>
  <c r="G14" i="10"/>
  <c r="A44" i="9"/>
  <c r="F27" i="9"/>
  <c r="G27" i="9"/>
  <c r="F28" i="9"/>
  <c r="G28" i="9"/>
  <c r="F29" i="9"/>
  <c r="G29" i="9"/>
  <c r="F16" i="9"/>
  <c r="M5" i="9"/>
  <c r="K5" i="9"/>
  <c r="K6" i="9"/>
  <c r="F17" i="9"/>
  <c r="K17" i="9"/>
  <c r="F18" i="9"/>
  <c r="G18" i="9"/>
  <c r="F19" i="9"/>
  <c r="G19" i="9"/>
  <c r="F15" i="9"/>
  <c r="G15" i="9"/>
  <c r="F26" i="9"/>
  <c r="G26" i="9"/>
  <c r="F25" i="9"/>
  <c r="G25" i="9"/>
  <c r="F24" i="9"/>
  <c r="G24" i="9"/>
  <c r="F14" i="9"/>
  <c r="G14" i="9"/>
  <c r="C118" i="9"/>
  <c r="F93" i="9"/>
  <c r="F92" i="9"/>
  <c r="F91" i="9"/>
  <c r="F94" i="9"/>
  <c r="F87" i="9"/>
  <c r="M21" i="9"/>
  <c r="F86" i="9"/>
  <c r="L9" i="9"/>
  <c r="L21" i="9"/>
  <c r="F85" i="9"/>
  <c r="K9" i="9"/>
  <c r="K36" i="9"/>
  <c r="L36" i="9"/>
  <c r="M36" i="9"/>
  <c r="M41" i="9"/>
  <c r="L41" i="9"/>
  <c r="K41" i="9"/>
  <c r="E79" i="9"/>
  <c r="P42" i="7"/>
  <c r="C75" i="8"/>
  <c r="E70" i="8"/>
  <c r="F51" i="8"/>
  <c r="F50" i="8"/>
  <c r="F49" i="8"/>
  <c r="F52" i="8"/>
  <c r="F45" i="8"/>
  <c r="M13" i="8"/>
  <c r="M15" i="8"/>
  <c r="F44" i="8"/>
  <c r="L26" i="8"/>
  <c r="F43" i="8"/>
  <c r="K13" i="8"/>
  <c r="K15" i="8"/>
  <c r="L17" i="8"/>
  <c r="N42" i="8"/>
  <c r="M42" i="8"/>
  <c r="L42" i="8"/>
  <c r="K42" i="8"/>
  <c r="E37" i="8"/>
  <c r="M23" i="8"/>
  <c r="L23" i="8"/>
  <c r="K23" i="8"/>
  <c r="L13" i="8"/>
  <c r="M10" i="8"/>
  <c r="L10" i="8"/>
  <c r="L15" i="8"/>
  <c r="K10" i="8"/>
  <c r="M23" i="7"/>
  <c r="M28" i="7"/>
  <c r="L23" i="7"/>
  <c r="K23" i="7"/>
  <c r="M10" i="7"/>
  <c r="M15" i="7"/>
  <c r="L10" i="7"/>
  <c r="K10" i="7"/>
  <c r="K15" i="7"/>
  <c r="E70" i="7"/>
  <c r="O42" i="7"/>
  <c r="C75" i="7"/>
  <c r="F51" i="7"/>
  <c r="F50" i="7"/>
  <c r="F49" i="7"/>
  <c r="F52" i="7"/>
  <c r="F45" i="7"/>
  <c r="M26" i="7"/>
  <c r="F44" i="7"/>
  <c r="L13" i="7"/>
  <c r="L26" i="7"/>
  <c r="L28" i="7"/>
  <c r="F43" i="7"/>
  <c r="F46" i="7"/>
  <c r="N42" i="7"/>
  <c r="M42" i="7"/>
  <c r="L42" i="7"/>
  <c r="K42" i="7"/>
  <c r="E37" i="7"/>
  <c r="M13" i="7"/>
  <c r="E70" i="6"/>
  <c r="M23" i="6"/>
  <c r="L23" i="6"/>
  <c r="K23" i="6"/>
  <c r="M10" i="6"/>
  <c r="L10" i="6"/>
  <c r="L15" i="6"/>
  <c r="K10" i="6"/>
  <c r="N42" i="6"/>
  <c r="C75" i="6"/>
  <c r="F51" i="6"/>
  <c r="F50" i="6"/>
  <c r="F49" i="6"/>
  <c r="F45" i="6"/>
  <c r="M13" i="6"/>
  <c r="M15" i="6"/>
  <c r="F44" i="6"/>
  <c r="L13" i="6"/>
  <c r="F43" i="6"/>
  <c r="M42" i="6"/>
  <c r="L42" i="6"/>
  <c r="K42" i="6"/>
  <c r="E37" i="6"/>
  <c r="K26" i="6"/>
  <c r="K28" i="6"/>
  <c r="K13" i="6"/>
  <c r="K15" i="6"/>
  <c r="M42" i="5"/>
  <c r="M23" i="5"/>
  <c r="L23" i="5"/>
  <c r="L28" i="5"/>
  <c r="K23" i="5"/>
  <c r="M10" i="5"/>
  <c r="M15" i="5"/>
  <c r="L10" i="5"/>
  <c r="K10" i="5"/>
  <c r="C75" i="5"/>
  <c r="F51" i="5"/>
  <c r="F50" i="5"/>
  <c r="F49" i="5"/>
  <c r="F52" i="5"/>
  <c r="F45" i="5"/>
  <c r="M13" i="5"/>
  <c r="F44" i="5"/>
  <c r="L26" i="5"/>
  <c r="F43" i="5"/>
  <c r="K13" i="5"/>
  <c r="K15" i="5"/>
  <c r="L42" i="5"/>
  <c r="K42" i="5"/>
  <c r="E37" i="5"/>
  <c r="M23" i="4"/>
  <c r="L23" i="4"/>
  <c r="K23" i="4"/>
  <c r="K28" i="4"/>
  <c r="L30" i="4"/>
  <c r="M10" i="4"/>
  <c r="M15" i="4"/>
  <c r="L10" i="4"/>
  <c r="L15" i="4"/>
  <c r="K10" i="4"/>
  <c r="M42" i="4"/>
  <c r="C75" i="4"/>
  <c r="F51" i="4"/>
  <c r="F50" i="4"/>
  <c r="F49" i="4"/>
  <c r="F52" i="4"/>
  <c r="F45" i="4"/>
  <c r="M26" i="4"/>
  <c r="M28" i="4"/>
  <c r="F44" i="4"/>
  <c r="L26" i="4"/>
  <c r="L28" i="4"/>
  <c r="L13" i="4"/>
  <c r="F43" i="4"/>
  <c r="K26" i="4"/>
  <c r="E37" i="4"/>
  <c r="L42" i="4"/>
  <c r="K42" i="4"/>
  <c r="M13" i="4"/>
  <c r="L28" i="2"/>
  <c r="E40" i="2"/>
  <c r="M10" i="2"/>
  <c r="L10" i="2"/>
  <c r="K10" i="2"/>
  <c r="K28" i="2"/>
  <c r="C78" i="2"/>
  <c r="F54" i="2"/>
  <c r="F53" i="2"/>
  <c r="F52" i="2"/>
  <c r="F55" i="2"/>
  <c r="F48" i="2"/>
  <c r="M13" i="2"/>
  <c r="F47" i="2"/>
  <c r="F49" i="2"/>
  <c r="F46" i="2"/>
  <c r="K13" i="2"/>
  <c r="K15" i="2"/>
  <c r="M10" i="1"/>
  <c r="M15" i="1"/>
  <c r="L10" i="1"/>
  <c r="L15" i="1"/>
  <c r="K10" i="1"/>
  <c r="K15" i="1"/>
  <c r="F52" i="1"/>
  <c r="F51" i="1"/>
  <c r="F50" i="1"/>
  <c r="F53" i="1"/>
  <c r="F46" i="1"/>
  <c r="F45" i="1"/>
  <c r="F44" i="1"/>
  <c r="F47" i="1"/>
  <c r="L40" i="1"/>
  <c r="C76" i="1"/>
  <c r="F52" i="6"/>
  <c r="K28" i="7"/>
  <c r="K13" i="7"/>
  <c r="K26" i="7"/>
  <c r="L5" i="9"/>
  <c r="L6" i="9"/>
  <c r="L11" i="9"/>
  <c r="G17" i="9"/>
  <c r="M17" i="9"/>
  <c r="M18" i="9"/>
  <c r="K18" i="9"/>
  <c r="K23" i="9"/>
  <c r="L17" i="9"/>
  <c r="L18" i="9"/>
  <c r="G16" i="9"/>
  <c r="K21" i="9"/>
  <c r="L30" i="7"/>
  <c r="M6" i="9"/>
  <c r="M28" i="5"/>
  <c r="M28" i="6"/>
  <c r="L17" i="6"/>
  <c r="L17" i="1"/>
  <c r="L28" i="8"/>
  <c r="M15" i="2"/>
  <c r="L15" i="7"/>
  <c r="L17" i="7"/>
  <c r="L26" i="6"/>
  <c r="L28" i="6"/>
  <c r="L30" i="6"/>
  <c r="M26" i="5"/>
  <c r="M26" i="6"/>
  <c r="F46" i="8"/>
  <c r="K13" i="4"/>
  <c r="K15" i="4"/>
  <c r="L17" i="4"/>
  <c r="K11" i="9"/>
  <c r="M9" i="9"/>
  <c r="M11" i="9"/>
  <c r="F46" i="4"/>
  <c r="F88" i="9"/>
  <c r="F46" i="5"/>
  <c r="M23" i="9"/>
  <c r="L25" i="9"/>
  <c r="L13" i="2"/>
  <c r="L15" i="2"/>
  <c r="L17" i="2"/>
  <c r="K26" i="5"/>
  <c r="K28" i="5"/>
  <c r="L30" i="5"/>
  <c r="M26" i="8"/>
  <c r="M28" i="8"/>
  <c r="F46" i="6"/>
  <c r="L23" i="9"/>
  <c r="K26" i="8"/>
  <c r="K28" i="8"/>
  <c r="L13" i="5"/>
  <c r="L15" i="5"/>
  <c r="L17" i="5"/>
  <c r="L13" i="9"/>
  <c r="L30" i="8"/>
  <c r="F94" i="10"/>
  <c r="K21" i="10"/>
  <c r="K23" i="10"/>
  <c r="M21" i="10"/>
  <c r="M23" i="10"/>
  <c r="F88" i="10"/>
  <c r="L21" i="10"/>
  <c r="L23" i="10"/>
  <c r="L13" i="10"/>
  <c r="L25" i="10"/>
  <c r="L23" i="11"/>
  <c r="K18" i="11"/>
  <c r="L13" i="12"/>
  <c r="M18" i="12"/>
  <c r="M23" i="12"/>
  <c r="L21" i="12"/>
  <c r="L23" i="12"/>
  <c r="L25" i="12"/>
  <c r="D31" i="13" l="1"/>
  <c r="G14" i="13"/>
  <c r="C31" i="13"/>
  <c r="C30" i="13"/>
  <c r="E31" i="13"/>
  <c r="G15" i="13"/>
  <c r="D30" i="13"/>
  <c r="D32" i="13" l="1"/>
  <c r="G16" i="13"/>
  <c r="E32" i="13"/>
  <c r="C32" i="13"/>
  <c r="G17" i="13" l="1"/>
  <c r="E33" i="13"/>
  <c r="D33" i="13"/>
  <c r="C33" i="13"/>
  <c r="E34" i="13" l="1"/>
  <c r="D34" i="13"/>
  <c r="C34" i="13"/>
  <c r="E35" i="13" l="1"/>
  <c r="D35" i="13"/>
  <c r="C35" i="13"/>
  <c r="H14" i="13" l="1"/>
  <c r="H15" i="13" l="1"/>
  <c r="H16" i="13" l="1"/>
  <c r="H17" i="13" l="1"/>
  <c r="H18" i="13" l="1"/>
</calcChain>
</file>

<file path=xl/sharedStrings.xml><?xml version="1.0" encoding="utf-8"?>
<sst xmlns="http://schemas.openxmlformats.org/spreadsheetml/2006/main" count="1312" uniqueCount="396">
  <si>
    <t>FTE</t>
  </si>
  <si>
    <t>Annual</t>
  </si>
  <si>
    <t>Biweekly</t>
  </si>
  <si>
    <t>Hourly</t>
  </si>
  <si>
    <t>Hours Worked</t>
  </si>
  <si>
    <t>3) Budgeting Graduate Student Health Insurance Benefit -"Gator grad care"</t>
  </si>
  <si>
    <t>out by the FTE and number of hours worked every two weeks.</t>
  </si>
  <si>
    <t>student activity fees</t>
  </si>
  <si>
    <t>Students are only held responsible for paying for student activity fees which is a separate amount</t>
  </si>
  <si>
    <t xml:space="preserve">  Option 1) If stipend paid by contracts and grants - waiver paid for by the sponsoring agency</t>
  </si>
  <si>
    <t xml:space="preserve">  Option 2) If stipend is paid from state funded assistantships - paid for by UF/IFAS</t>
  </si>
  <si>
    <t>However, the source of  funding for the student stipend will determine who pays for the waiver.</t>
  </si>
  <si>
    <r>
      <t xml:space="preserve">UF/IFAS offers tuition waivers on </t>
    </r>
    <r>
      <rPr>
        <sz val="10"/>
        <rFont val="Arial"/>
        <family val="2"/>
      </rPr>
      <t>all</t>
    </r>
    <r>
      <rPr>
        <sz val="10"/>
        <rFont val="Arial"/>
        <family val="2"/>
      </rPr>
      <t xml:space="preserve"> graduate assistantships that are at least a .25 FTE. </t>
    </r>
  </si>
  <si>
    <t xml:space="preserve"> Calculation Information for the Department of Wildlife Ecology</t>
  </si>
  <si>
    <t>and Conservation</t>
  </si>
  <si>
    <r>
      <t xml:space="preserve">Graduate Student Assistantships - </t>
    </r>
    <r>
      <rPr>
        <b/>
        <sz val="14"/>
        <rFont val="Arial"/>
        <family val="2"/>
      </rPr>
      <t>Frequently Used Budget</t>
    </r>
  </si>
  <si>
    <t xml:space="preserve">from the matriculation fee covered by the waiver.  It should be noted UF charges the same rates </t>
  </si>
  <si>
    <t xml:space="preserve">Tuition/per credit hr = </t>
  </si>
  <si>
    <t>Grant portion per credit hr</t>
  </si>
  <si>
    <t>Student portion per credit hr</t>
  </si>
  <si>
    <t>The following stipends are paid to WEC graduate students on assistantships  The rates are broken</t>
  </si>
  <si>
    <t xml:space="preserve">for instate and out-of-state graduate students on assistantships. </t>
  </si>
  <si>
    <t>What charges are picked up by the grant supporting the student?</t>
  </si>
  <si>
    <t>What is the student's responsibility for activity fees each term?</t>
  </si>
  <si>
    <t xml:space="preserve"> * matriculation fee</t>
  </si>
  <si>
    <t>2) Budgeting Graduate Student Tuition on Grants and Contracts</t>
  </si>
  <si>
    <t>1) Budgeting Graduate Student Stipends</t>
  </si>
  <si>
    <t>Master's and PhD's</t>
  </si>
  <si>
    <t>What is the tuition rate per credit hour for new students enrolling after Fall 2006</t>
  </si>
  <si>
    <t>New way to calculate health insurance for students enrolled in gator grad care.</t>
  </si>
  <si>
    <t>This same fringe rate also has a small % built in to cover workers compensation.</t>
  </si>
  <si>
    <t>Example:</t>
  </si>
  <si>
    <t>Stipend costs $16,000 annually</t>
  </si>
  <si>
    <t>stipend</t>
  </si>
  <si>
    <t>fringe (health ins &amp; workers comp)</t>
  </si>
  <si>
    <t>Stipend and health insurance</t>
  </si>
  <si>
    <r>
      <t xml:space="preserve">New rates approved by the department in May 2008.  The hourly rate is the same for </t>
    </r>
    <r>
      <rPr>
        <i/>
        <u/>
        <sz val="10"/>
        <rFont val="Arial"/>
        <family val="2"/>
      </rPr>
      <t xml:space="preserve">both </t>
    </r>
    <r>
      <rPr>
        <i/>
        <sz val="10"/>
        <rFont val="Arial"/>
        <family val="2"/>
      </rPr>
      <t>degree levels.</t>
    </r>
  </si>
  <si>
    <t xml:space="preserve"> Total annual amount charged to grant</t>
  </si>
  <si>
    <t xml:space="preserve">  Total annual amount paid by student</t>
  </si>
  <si>
    <t>* The matriculation fee reflects a 10% increase over fall 2010 from $388.52 to $427.37</t>
  </si>
  <si>
    <t>through Summer C 2012</t>
  </si>
  <si>
    <t>Academic year 2011-12</t>
  </si>
  <si>
    <t>Fall 2011 - must enroll for  9 credit hrs</t>
  </si>
  <si>
    <t>Spring 2012 - must enroll for 9 credit hrs</t>
  </si>
  <si>
    <t>Summer 2012 - must enroll for 6 credit hrs</t>
  </si>
  <si>
    <t>Fall 2011 - 9 credit hrs required</t>
  </si>
  <si>
    <t>Spring 2012  - 9 credit hrs required</t>
  </si>
  <si>
    <t>Summer 2012 - 6 credit hrs required</t>
  </si>
  <si>
    <t>Spring 2012</t>
  </si>
  <si>
    <t>Summer C 2012</t>
  </si>
  <si>
    <t>Fall 2011</t>
  </si>
  <si>
    <t>Academic Year Summary Costs Fall 2011 - Summer C 2012</t>
  </si>
  <si>
    <t xml:space="preserve">       at $427.37 hr</t>
  </si>
  <si>
    <t>Tuition 9 credit hours/semester; 6 in summer</t>
  </si>
  <si>
    <t xml:space="preserve">Annual Stipend on a .33 = $16,000 </t>
  </si>
  <si>
    <t>Semester Cost Total</t>
  </si>
  <si>
    <t>Grad Assistantship stipend at .33 FTE</t>
  </si>
  <si>
    <t>Total Academic Year</t>
  </si>
  <si>
    <t>8/15-12/31/11</t>
  </si>
  <si>
    <t>1/1/12-5/15/12</t>
  </si>
  <si>
    <t>5/16/12-8/15/12</t>
  </si>
  <si>
    <t xml:space="preserve"> X 4.4%  fringe =</t>
  </si>
  <si>
    <t>We are now to use the fringe benefit rate of 4.4% on top of the annual stipend.</t>
  </si>
  <si>
    <r>
      <rPr>
        <b/>
        <sz val="10"/>
        <rFont val="Arial"/>
        <family val="2"/>
      </rPr>
      <t>4.4 %</t>
    </r>
    <r>
      <rPr>
        <sz val="10"/>
        <rFont val="Arial"/>
        <family val="2"/>
      </rPr>
      <t xml:space="preserve"> is new fringe rate effective 7/1/12.  This has been decreased from 8.3%</t>
    </r>
  </si>
  <si>
    <t>Modified 05/15/12</t>
  </si>
  <si>
    <t>Example:  If you were paying a graduate student $16,000 a year multiple 4.4 % on</t>
  </si>
  <si>
    <t xml:space="preserve">top of the annual stipend of $16 k for a fringe amount of $704.  This will now cover the cost of the insurance.  </t>
  </si>
  <si>
    <t xml:space="preserve">    fringe at 4.4 % includes insurance</t>
  </si>
  <si>
    <t>New Tuition Rates for  Academic Yr 12-13 Pending</t>
  </si>
  <si>
    <t>insurance. This same fringe rate also has a small % built in to cover workers compensation.</t>
  </si>
  <si>
    <t xml:space="preserve"> broken out by the FTE and number of hours worked every two weeks.</t>
  </si>
  <si>
    <t>The following stipends are paid to WEC graduate students on assistantships  The rates are</t>
  </si>
  <si>
    <t>Out of State Tuition Rates</t>
  </si>
  <si>
    <t>Student Activity Fee per credit hour</t>
  </si>
  <si>
    <t>Tuition per Credit Hour Minus activity fees</t>
  </si>
  <si>
    <t>FY 12-13*</t>
  </si>
  <si>
    <t>* The matriculation fee reflects  a 5%  increase over fall 2011 from $427.37 to $448.73</t>
  </si>
  <si>
    <t xml:space="preserve">       at $448.73</t>
  </si>
  <si>
    <t>*FY 12-13 represents a 5% increase</t>
  </si>
  <si>
    <t>Academic year 2013-14</t>
  </si>
  <si>
    <t xml:space="preserve"> X 7.2%  fringe =</t>
  </si>
  <si>
    <t>We are now to use the fringe benefit rate of 7.2% on top of the annual stipend.</t>
  </si>
  <si>
    <t xml:space="preserve">top of the annual stipend of $16 k for a fringe amount of $1152.  This will now cover the cost of the </t>
  </si>
  <si>
    <r>
      <rPr>
        <b/>
        <sz val="10"/>
        <rFont val="Arial"/>
        <family val="2"/>
      </rPr>
      <t>7.2 %</t>
    </r>
    <r>
      <rPr>
        <sz val="10"/>
        <rFont val="Arial"/>
        <family val="2"/>
      </rPr>
      <t xml:space="preserve"> is new fringe rate effective 7/1/13.  This has been increased from 4.4%</t>
    </r>
  </si>
  <si>
    <t xml:space="preserve">    fringe at 7.2 % includes insurance</t>
  </si>
  <si>
    <t>Example:  If you were paying a graduate student $16,000 a year multiple 7.2 % on</t>
  </si>
  <si>
    <t>Effective Fall 13 Activity Fees go up by $2.19</t>
  </si>
  <si>
    <t>Matriculation remains at $448.73</t>
  </si>
  <si>
    <t>FY 13-14</t>
  </si>
  <si>
    <t>through Summer C 2014</t>
  </si>
  <si>
    <t>Fall 2013 - must enroll for  9 credit hrs</t>
  </si>
  <si>
    <t>Spring 2014 - must enroll for 9 credit hrs</t>
  </si>
  <si>
    <t>Summer 2014 - must enroll for 6 credit hrs</t>
  </si>
  <si>
    <t>Fall 2013 - 9 credit hrs required</t>
  </si>
  <si>
    <t>Spring 2014  - 9 credit hrs required</t>
  </si>
  <si>
    <t>Summer 2014 - 6 credit hrs required</t>
  </si>
  <si>
    <t>New MS TA rate 8/2014</t>
  </si>
  <si>
    <t>New PhD  TA rate 8/2014</t>
  </si>
  <si>
    <t>Updatated 2/25/14</t>
  </si>
  <si>
    <t>Fall 2014</t>
  </si>
  <si>
    <t>Spring 2015</t>
  </si>
  <si>
    <t>Summer C 2015</t>
  </si>
  <si>
    <r>
      <t xml:space="preserve">New rates approved by the departmentchair  in Feb 2014  The hourly rate is the same for </t>
    </r>
    <r>
      <rPr>
        <i/>
        <u/>
        <sz val="10"/>
        <rFont val="Arial"/>
        <family val="2"/>
      </rPr>
      <t xml:space="preserve">both </t>
    </r>
    <r>
      <rPr>
        <i/>
        <sz val="10"/>
        <rFont val="Arial"/>
        <family val="2"/>
      </rPr>
      <t>degree levels but diff FTEs</t>
    </r>
  </si>
  <si>
    <t>Annual Stipend on a .38 = $18424.24</t>
  </si>
  <si>
    <t>8/16/14 - 12/31/14</t>
  </si>
  <si>
    <t>1/1/15 - 5/15/15</t>
  </si>
  <si>
    <t>5/16/15-8/15/15</t>
  </si>
  <si>
    <t>Academic Year Summary Costs Fall 2014 - Summer C 2015</t>
  </si>
  <si>
    <t>MS .38 FTE</t>
  </si>
  <si>
    <t>PhD .40 FTE</t>
  </si>
  <si>
    <t>Annual Stipend on a .40 = $19393.94</t>
  </si>
  <si>
    <t>Grad Assistantship stipend at .38 FTE</t>
  </si>
  <si>
    <t>Grad Assistantship stipend at .40FTE</t>
  </si>
  <si>
    <t>* activity fees will go up in FY 14-15 to $79.68</t>
  </si>
  <si>
    <r>
      <t>student activity fees</t>
    </r>
    <r>
      <rPr>
        <b/>
        <sz val="10"/>
        <color indexed="60"/>
        <rFont val="Arial"/>
        <family val="2"/>
      </rPr>
      <t xml:space="preserve"> *</t>
    </r>
  </si>
  <si>
    <t>FY 14-15</t>
  </si>
  <si>
    <t>Academic year 2014-15</t>
  </si>
  <si>
    <t xml:space="preserve"> X 13.1% fringe =</t>
  </si>
  <si>
    <t>Example:  If you were paying a graduate student $16,000 a year multiple 13.1% on</t>
  </si>
  <si>
    <t xml:space="preserve">top of the annual stipend of $16 k for a fringe amount of $2096.  This will now cover the cost of the </t>
  </si>
  <si>
    <t xml:space="preserve">    fringe at 13.1% includes insurance</t>
  </si>
  <si>
    <t>through Summer C 2015</t>
  </si>
  <si>
    <t>Updatated 6/27/14</t>
  </si>
  <si>
    <t>Fall 2014 - must enroll for  9 credit hrs</t>
  </si>
  <si>
    <t>Spring 2015 - must enroll for 9 credit hrs</t>
  </si>
  <si>
    <t>Summer 2015 - must enroll for 6 credit hrs</t>
  </si>
  <si>
    <t>Fall 2014 - 9 credit hrs required</t>
  </si>
  <si>
    <t>Spring 2015  - 9 credit hrs required</t>
  </si>
  <si>
    <t>Summer 2015 - 6 credit hrs required</t>
  </si>
  <si>
    <r>
      <rPr>
        <b/>
        <sz val="10"/>
        <rFont val="Arial"/>
        <family val="2"/>
      </rPr>
      <t>13.1%</t>
    </r>
    <r>
      <rPr>
        <sz val="10"/>
        <rFont val="Arial"/>
        <family val="2"/>
      </rPr>
      <t xml:space="preserve"> is new fringe rate effective 7/1/14.  This has been increased from 7.2%</t>
    </r>
  </si>
  <si>
    <t>We are now to use the fringe benefit rate of 13.1% on top of the annual stipend.</t>
  </si>
  <si>
    <t>Academic year 2015-16</t>
  </si>
  <si>
    <t>New PhD  TA rate 8/2015</t>
  </si>
  <si>
    <t>New MS TA rate 8/2015</t>
  </si>
  <si>
    <t xml:space="preserve"> reflects a 3.25% increase</t>
  </si>
  <si>
    <t>through Summer C 2016</t>
  </si>
  <si>
    <t>Stipend costs $16,520 annually</t>
  </si>
  <si>
    <t>Annual Stipend on a .38 = $19.023.03</t>
  </si>
  <si>
    <t>8/16/15 - 12/31/15</t>
  </si>
  <si>
    <t>1/1/16 - 5/15/16</t>
  </si>
  <si>
    <t>5/16/16-8/15/16</t>
  </si>
  <si>
    <t>Annual Stipend on a .40 = $20,024.24</t>
  </si>
  <si>
    <t>Spring 2016</t>
  </si>
  <si>
    <t>Summer C 2016</t>
  </si>
  <si>
    <t>Fall 2015 - must enroll for  9 credit hrs</t>
  </si>
  <si>
    <t>Spring 2016 - must enroll for 9 credit hrs</t>
  </si>
  <si>
    <t>Summer 2016 - must enroll for 6 credit hrs</t>
  </si>
  <si>
    <t>Fall 2015 - 9 credit hrs required</t>
  </si>
  <si>
    <t>Spring 2016  - 9 credit hrs required</t>
  </si>
  <si>
    <t>Summer 2016 - 6 credit hrs required</t>
  </si>
  <si>
    <t>Fall 2015</t>
  </si>
  <si>
    <r>
      <t xml:space="preserve">New rates approved by the department chair for Fall 15 The hourly rate is the same for </t>
    </r>
    <r>
      <rPr>
        <i/>
        <u/>
        <sz val="10"/>
        <rFont val="Arial"/>
        <family val="2"/>
      </rPr>
      <t xml:space="preserve">both </t>
    </r>
    <r>
      <rPr>
        <i/>
        <sz val="10"/>
        <rFont val="Arial"/>
        <family val="2"/>
      </rPr>
      <t>degree levels but diff FTEs</t>
    </r>
  </si>
  <si>
    <t>We are now to use the fringe benefit rate of 14.9% on top of the annual stipend.</t>
  </si>
  <si>
    <t>Example:  If you were paying a graduate student $16,520 a year multiple 14.9% on</t>
  </si>
  <si>
    <t xml:space="preserve"> X 14.9% fringe =</t>
  </si>
  <si>
    <t xml:space="preserve">    fringe at 14.9% includes insurance</t>
  </si>
  <si>
    <t>FY15-16*</t>
  </si>
  <si>
    <t>Academic Year Summary Costs Fall 2016 - Summer C 2017</t>
  </si>
  <si>
    <t>FY16-17*</t>
  </si>
  <si>
    <t xml:space="preserve">top of the annual stipend of $16,540 k for a fringe amount of $2,464.  This will now cover the cost of the </t>
  </si>
  <si>
    <t>New Fringe rate of 14.9% effective 7/1/16 up from 13.1%</t>
  </si>
  <si>
    <r>
      <rPr>
        <b/>
        <sz val="10"/>
        <rFont val="Arial"/>
        <family val="2"/>
      </rPr>
      <t>14.9%</t>
    </r>
    <r>
      <rPr>
        <sz val="10"/>
        <rFont val="Arial"/>
        <family val="2"/>
      </rPr>
      <t xml:space="preserve"> is new fringe rate effective 7/1/16.  This has been increased from 13.1%</t>
    </r>
  </si>
  <si>
    <t>Updated 10/15/15</t>
  </si>
  <si>
    <t>8/16/16 - 12/31/16</t>
  </si>
  <si>
    <t>1/1/17 - 5/15/17</t>
  </si>
  <si>
    <t>5/16/17-8/15/17</t>
  </si>
  <si>
    <t>Academic year 2017-18</t>
  </si>
  <si>
    <t>Updated 07/31/2017</t>
  </si>
  <si>
    <t>Fall 2017</t>
  </si>
  <si>
    <t>Spring 2018</t>
  </si>
  <si>
    <t>Summer C 2018</t>
  </si>
  <si>
    <t>8/16/17 - 12/31/17</t>
  </si>
  <si>
    <t>1/1/18 - 5/15/18</t>
  </si>
  <si>
    <t>5/16/18-8/15/18</t>
  </si>
  <si>
    <t xml:space="preserve">    fringe at 10.2% includes insurance</t>
  </si>
  <si>
    <t>FY-17-18</t>
  </si>
  <si>
    <t>Academic Year Summary Costs Fall 2017 - Summer C 2018</t>
  </si>
  <si>
    <t>Spring 2017</t>
  </si>
  <si>
    <t>Fall 2017 - must enroll for  9 credit hrs</t>
  </si>
  <si>
    <t>Spring 2018 - must enroll for 9 credit hrs</t>
  </si>
  <si>
    <t>Summer 2018 - must enroll for 6 credit hrs</t>
  </si>
  <si>
    <t>Fall 2017 - 9 credit hrs required</t>
  </si>
  <si>
    <t>Spring 2018  - 9 credit hrs required</t>
  </si>
  <si>
    <t>Summer 2018 - 6 credit hrs required</t>
  </si>
  <si>
    <t>New Fringe rate of 10.2% effective 7/1/17 down from 20.4%</t>
  </si>
  <si>
    <t>We are now to use the fringe benefit rate of 10.2% on top of the annual stipend.</t>
  </si>
  <si>
    <t xml:space="preserve"> X 10.2% fringe =</t>
  </si>
  <si>
    <t>Example:  If you were paying a graduate student $16,520 a year multiply 10.2% on</t>
  </si>
  <si>
    <t xml:space="preserve">top of the annual stipend of $16,520 k for a fringe amount of $1,685.04.  This will now cover the cost of the </t>
  </si>
  <si>
    <r>
      <rPr>
        <b/>
        <sz val="10"/>
        <rFont val="Arial"/>
        <family val="2"/>
      </rPr>
      <t>10.2%</t>
    </r>
    <r>
      <rPr>
        <sz val="10"/>
        <rFont val="Arial"/>
        <family val="2"/>
      </rPr>
      <t xml:space="preserve"> is new fringe rate effective 7/1/17.  This has been decreased from 20.4%</t>
    </r>
  </si>
  <si>
    <t>Academic year 2018-19</t>
  </si>
  <si>
    <t>Fall 2018</t>
  </si>
  <si>
    <t>Spring 2019</t>
  </si>
  <si>
    <t>Summer C 2019</t>
  </si>
  <si>
    <t>Academic Year Summary Costs Fall 2018 - Summer C 2019</t>
  </si>
  <si>
    <t>8/16/18 - 12/31/18</t>
  </si>
  <si>
    <t>1/1/19 - 5/15/19</t>
  </si>
  <si>
    <t>5/16/98-8/15/19</t>
  </si>
  <si>
    <t>Fall 2018 - must enroll for  9 credit hrs</t>
  </si>
  <si>
    <t>Spring 2019 - must enroll for 9 credit hrs</t>
  </si>
  <si>
    <t>Summer 2019 - must enroll for 6 credit hrs</t>
  </si>
  <si>
    <t>Fall 2018 - 9 credit hrs required</t>
  </si>
  <si>
    <t>Spring 2019  - 9 credit hrs required</t>
  </si>
  <si>
    <t>Summer 2019 - 6 credit hrs required</t>
  </si>
  <si>
    <t>New Fringe rate of 11.7% effective 7/1/17 up from 10.2%</t>
  </si>
  <si>
    <t>We are now to use the fringe benefit rate of 11.7% on top of the annual stipend.</t>
  </si>
  <si>
    <t>Example:  If you were paying a graduate student $16,520 a year multiply 11.7% on</t>
  </si>
  <si>
    <t xml:space="preserve">top of the annual stipend of $16,520 k for a fringe amount of $1,932.84.  This will now cover the cost of the </t>
  </si>
  <si>
    <t xml:space="preserve"> X 11.7% fringe =</t>
  </si>
  <si>
    <r>
      <rPr>
        <b/>
        <sz val="10"/>
        <rFont val="Arial"/>
        <family val="2"/>
      </rPr>
      <t>11.7%</t>
    </r>
    <r>
      <rPr>
        <sz val="10"/>
        <rFont val="Arial"/>
        <family val="2"/>
      </rPr>
      <t xml:space="preserve"> is new fringe rate effective 7/1/18.  This has been increased from 10.2%</t>
    </r>
  </si>
  <si>
    <t xml:space="preserve">    fringe at 11.7% includes insurance</t>
  </si>
  <si>
    <t>Updated 10/24/2018</t>
  </si>
  <si>
    <t>FY-18-19</t>
  </si>
  <si>
    <t>http://www.fa.ufl.edu/bursar/current-tuition-and-fees/</t>
  </si>
  <si>
    <t>CURRENT TUITION RATES HERE:</t>
  </si>
  <si>
    <t>Fall 2019</t>
  </si>
  <si>
    <t>Spring 2020</t>
  </si>
  <si>
    <t>Summer C 2020</t>
  </si>
  <si>
    <t>PhD .44 FTE</t>
  </si>
  <si>
    <t>New MS TA rate 8/2019</t>
  </si>
  <si>
    <t>New PhD TA rate 8/2019</t>
  </si>
  <si>
    <t>Grad Assistantship stipend at .44FTE</t>
  </si>
  <si>
    <t xml:space="preserve">    fringe at 12.1% includes insurance</t>
  </si>
  <si>
    <t>8/16/19 - 12/31/19
(9.8pp)</t>
  </si>
  <si>
    <t>1/1/20 - 5/15/20
(9.8pp)</t>
  </si>
  <si>
    <t>5/16/20-8/15/20
(6.5pp)</t>
  </si>
  <si>
    <t xml:space="preserve">from the matriculation fee covered by the waiver. </t>
  </si>
  <si>
    <t>Academic year 2019-20</t>
  </si>
  <si>
    <t>Updated 03/26/2019</t>
  </si>
  <si>
    <r>
      <t xml:space="preserve">New rates approved by the department chair for Fall 19
</t>
    </r>
    <r>
      <rPr>
        <b/>
        <i/>
        <sz val="10"/>
        <color indexed="60"/>
        <rFont val="Arial"/>
        <family val="2"/>
      </rPr>
      <t xml:space="preserve">The hourly rate is the same for </t>
    </r>
    <r>
      <rPr>
        <b/>
        <i/>
        <u/>
        <sz val="10"/>
        <color indexed="60"/>
        <rFont val="Arial"/>
        <family val="2"/>
      </rPr>
      <t xml:space="preserve">both </t>
    </r>
    <r>
      <rPr>
        <b/>
        <i/>
        <sz val="10"/>
        <color indexed="60"/>
        <rFont val="Arial"/>
        <family val="2"/>
      </rPr>
      <t>degree levels but diff FTEs</t>
    </r>
  </si>
  <si>
    <t>New Fringe rate of 12.1% effective 7/1/19 up from 11.7%</t>
  </si>
  <si>
    <t>We are now to use the fringe benefit rate of 12.1% on top of the annual stipend.</t>
  </si>
  <si>
    <t>Example:  If you were paying a graduate student $16,520 a year multiply 12.1% on</t>
  </si>
  <si>
    <t xml:space="preserve">top of the annual stipend of $16,520 k for a fringe amount of $1,998.92.  This will now cover the </t>
  </si>
  <si>
    <t>cost of the insurance. This same fringe rate also has a small % built in to cover workers</t>
  </si>
  <si>
    <t xml:space="preserve"> compensation.</t>
  </si>
  <si>
    <t xml:space="preserve"> X 12.1% fringe =</t>
  </si>
  <si>
    <r>
      <rPr>
        <b/>
        <sz val="10"/>
        <rFont val="Arial"/>
        <family val="2"/>
      </rPr>
      <t>12.1%</t>
    </r>
    <r>
      <rPr>
        <sz val="10"/>
        <rFont val="Arial"/>
        <family val="2"/>
      </rPr>
      <t xml:space="preserve"> is new fringe rate effective 7/1/19.  This has been increased from 11.7%</t>
    </r>
  </si>
  <si>
    <t>CURRENT TUITION RATES:</t>
  </si>
  <si>
    <r>
      <rPr>
        <b/>
        <sz val="10"/>
        <color indexed="60"/>
        <rFont val="Arial"/>
        <family val="2"/>
      </rPr>
      <t>Effective Fall 2019</t>
    </r>
    <r>
      <rPr>
        <b/>
        <sz val="10"/>
        <rFont val="Arial"/>
        <family val="2"/>
      </rPr>
      <t xml:space="preserve">: Out-of-state tuition will have a 10% increase, to continue annually </t>
    </r>
  </si>
  <si>
    <t>At present, the annual tuition charge to sponsored projects for a non‐resident</t>
  </si>
  <si>
    <t>graduate student is approximately $10,771. Beginning in the fall 2019 and</t>
  </si>
  <si>
    <t>continuing through 2024, the annual tuition charges to sponsored projects for a</t>
  </si>
  <si>
    <t>non‐resident graduate student in all colleges (except for the College of</t>
  </si>
  <si>
    <t>Engineering) will be as follows:</t>
  </si>
  <si>
    <t>Fall 2019: $11,848 (10% increase)</t>
  </si>
  <si>
    <t>Fall 2020: $13,033 (10% increase)</t>
  </si>
  <si>
    <t>Fall 2021: $14,336 (10% increase)</t>
  </si>
  <si>
    <t>Fall 2022: $15,769 (10% increase)</t>
  </si>
  <si>
    <t>Fall 2023: $17,346 (10% increase)</t>
  </si>
  <si>
    <t>Fall 2024: $18,213 (5% increase)</t>
  </si>
  <si>
    <t>PhD</t>
  </si>
  <si>
    <t>MS</t>
  </si>
  <si>
    <t>MS .44 FTE</t>
  </si>
  <si>
    <t>Academic Year Summary Costs Fall 2019 - Summer C 2020</t>
  </si>
  <si>
    <t>Grad Assistantship stipend at .44 FTE</t>
  </si>
  <si>
    <t>FY 19-20</t>
  </si>
  <si>
    <t>Annual Stipend on a .44 = $20,000</t>
  </si>
  <si>
    <t>Annual Stipend on a .44 = $22,000</t>
  </si>
  <si>
    <t>TBD
Refer to Section 2 for budgeting</t>
  </si>
  <si>
    <r>
      <t xml:space="preserve">through Fall 2024. </t>
    </r>
    <r>
      <rPr>
        <b/>
        <sz val="10"/>
        <color indexed="60"/>
        <rFont val="Arial"/>
        <family val="2"/>
      </rPr>
      <t xml:space="preserve"> YOU MUST BUDGET FOR OUT OF STATE RATES</t>
    </r>
  </si>
  <si>
    <t>Tuition No Fees</t>
  </si>
  <si>
    <t xml:space="preserve">Full Year Rounded </t>
  </si>
  <si>
    <t xml:space="preserve"> Fall </t>
  </si>
  <si>
    <t xml:space="preserve"> Spring  </t>
  </si>
  <si>
    <t xml:space="preserve"> Summer </t>
  </si>
  <si>
    <t>Increase Per Year</t>
  </si>
  <si>
    <t>$  10,770.00</t>
  </si>
  <si>
    <t> $  4,039.00</t>
  </si>
  <si>
    <t> $  2,692.00</t>
  </si>
  <si>
    <t>$  11,848.00</t>
  </si>
  <si>
    <t> $  4,443.00</t>
  </si>
  <si>
    <t> $  2,962.00</t>
  </si>
  <si>
    <t>Fall 2020</t>
  </si>
  <si>
    <t>$  13,033.00</t>
  </si>
  <si>
    <t> $  4,887.00</t>
  </si>
  <si>
    <t> $  3,258.00</t>
  </si>
  <si>
    <t>Fall 2021</t>
  </si>
  <si>
    <t>$  14,336.00</t>
  </si>
  <si>
    <t> $  5,376.00</t>
  </si>
  <si>
    <t> $  3,584.00</t>
  </si>
  <si>
    <t>Fall 2022</t>
  </si>
  <si>
    <t>$  15,769.00</t>
  </si>
  <si>
    <t> $  5,913.00</t>
  </si>
  <si>
    <t> $  3,942.00</t>
  </si>
  <si>
    <t>Fall 2023</t>
  </si>
  <si>
    <t>$  17,346.00</t>
  </si>
  <si>
    <t> $  6,505.00</t>
  </si>
  <si>
    <t> $  4,337.00</t>
  </si>
  <si>
    <t>Fall 2024</t>
  </si>
  <si>
    <t>$  18,213.00</t>
  </si>
  <si>
    <t> $  6,830.00</t>
  </si>
  <si>
    <t> $  4,553.00</t>
  </si>
  <si>
    <t>Fall 2006 through Summer C 2016</t>
  </si>
  <si>
    <t>What is the tuition rate per credit hour for new students enrolling after</t>
  </si>
  <si>
    <t>reflected by the FTE and number of hours worked every two weeks.</t>
  </si>
  <si>
    <t>FY-19-20</t>
  </si>
  <si>
    <t>FY-20-21</t>
  </si>
  <si>
    <t>FY- 21-22</t>
  </si>
  <si>
    <t>Tution per Credit Hour Minus activity Fees</t>
  </si>
  <si>
    <t>Student Activity Fees per Credit Hour</t>
  </si>
  <si>
    <t>Total out of State Tuition per Credit Hour</t>
  </si>
  <si>
    <r>
      <t xml:space="preserve">through Fall 2024. </t>
    </r>
    <r>
      <rPr>
        <b/>
        <sz val="10"/>
        <color indexed="60"/>
        <rFont val="Arial"/>
        <family val="2"/>
      </rPr>
      <t xml:space="preserve"> YOU MUST BUDGET FOR OUT OF STATE RATES</t>
    </r>
  </si>
  <si>
    <t xml:space="preserve">Fall 2019: </t>
  </si>
  <si>
    <t xml:space="preserve"> (10% increase)</t>
  </si>
  <si>
    <t xml:space="preserve">Fall 2020: </t>
  </si>
  <si>
    <t>"</t>
  </si>
  <si>
    <t>Fall 2021:</t>
  </si>
  <si>
    <t>Fall 2022:</t>
  </si>
  <si>
    <t>Fall 2023:</t>
  </si>
  <si>
    <t>Fall 2024:</t>
  </si>
  <si>
    <t xml:space="preserve"> (5% increase)</t>
  </si>
  <si>
    <t>New PhD TA rate 8/2021</t>
  </si>
  <si>
    <t>New MS TA rate 8/2021</t>
  </si>
  <si>
    <t>PhD .50 FTE</t>
  </si>
  <si>
    <t>Annual Stipend on a .50 = $25,000</t>
  </si>
  <si>
    <t>Grad Assistantship stipend at .50 FTE</t>
  </si>
  <si>
    <t>MS .50 FTE</t>
  </si>
  <si>
    <t>Grad Assistantship stipend at .50FTE</t>
  </si>
  <si>
    <t>Academic year 2022-23</t>
  </si>
  <si>
    <t>Updated 07/07/2022</t>
  </si>
  <si>
    <t>Rates approved by the department chair for Fall 22</t>
  </si>
  <si>
    <t>Spring 2023</t>
  </si>
  <si>
    <t>Summer C 2023</t>
  </si>
  <si>
    <t>8/16/22 - 12/31/22
(9.9pp)</t>
  </si>
  <si>
    <t>1/1/23 - 5/15/23
(9.6pp)</t>
  </si>
  <si>
    <t>5/16/23-8/15/23
(6.6pp)</t>
  </si>
  <si>
    <t xml:space="preserve">    fringe at 12.4% includes insurance</t>
  </si>
  <si>
    <t>Academic Year Summary Costs Fall 2022 - Summer C 2023</t>
  </si>
  <si>
    <t>Fall 2022 - must enroll for  9 credit hrs</t>
  </si>
  <si>
    <t>Spring 2023 - must enroll for 9 credit hrs</t>
  </si>
  <si>
    <t>Summer 2023 - must enroll for 6 credit hrs</t>
  </si>
  <si>
    <t>actual @ $448.73/credit hour</t>
  </si>
  <si>
    <r>
      <t>the</t>
    </r>
    <r>
      <rPr>
        <u/>
        <sz val="10"/>
        <rFont val="Arial"/>
        <family val="2"/>
      </rPr>
      <t xml:space="preserve"> annual </t>
    </r>
    <r>
      <rPr>
        <sz val="10"/>
        <rFont val="Arial"/>
        <family val="2"/>
      </rPr>
      <t xml:space="preserve">tuition charged for a </t>
    </r>
    <r>
      <rPr>
        <u/>
        <sz val="10"/>
        <rFont val="Arial"/>
        <family val="2"/>
      </rPr>
      <t>non-resident graduate student&amp;</t>
    </r>
  </si>
  <si>
    <t>in all colleges (except for the College of Engineering) will be as follows:</t>
  </si>
  <si>
    <t>Beginning in the fall 2019 and continuing through 2024,</t>
  </si>
  <si>
    <t>3) Budgeting Graduate Student Health Insurance on Grants and Contracts</t>
  </si>
  <si>
    <t>Health insurance is now budgeted as part of the fringe benefits pool (FBP); this rate is updated</t>
  </si>
  <si>
    <r>
      <t xml:space="preserve">each July 1st; </t>
    </r>
    <r>
      <rPr>
        <b/>
        <sz val="10"/>
        <rFont val="Arial"/>
        <family val="2"/>
      </rPr>
      <t>FY22-23 fringe rate is 12.4%.</t>
    </r>
  </si>
  <si>
    <t>**IN-STATE RATES</t>
  </si>
  <si>
    <r>
      <t xml:space="preserve">       at $448.73</t>
    </r>
    <r>
      <rPr>
        <b/>
        <sz val="10"/>
        <color indexed="60"/>
        <rFont val="Arial"/>
        <family val="2"/>
      </rPr>
      <t>**</t>
    </r>
  </si>
  <si>
    <t>Annual Stipend on a .50 = $22,725</t>
  </si>
  <si>
    <t>What is the tuition rate per credit hour for new students</t>
  </si>
  <si>
    <t>Fall 2022 - 9 credit hrs required</t>
  </si>
  <si>
    <t>Spring 2023  - 9 credit hrs required</t>
  </si>
  <si>
    <t>Summer 2023 - 6 credit hrs required</t>
  </si>
  <si>
    <t>FY22-23</t>
  </si>
  <si>
    <t>FY23-24</t>
  </si>
  <si>
    <t>FY24-25</t>
  </si>
  <si>
    <r>
      <t xml:space="preserve">What is the </t>
    </r>
    <r>
      <rPr>
        <b/>
        <sz val="12"/>
        <color indexed="10"/>
        <rFont val="Arial"/>
        <family val="2"/>
      </rPr>
      <t xml:space="preserve">in-state </t>
    </r>
    <r>
      <rPr>
        <b/>
        <sz val="11"/>
        <rFont val="Arial"/>
        <family val="2"/>
      </rPr>
      <t>tuition rate per credit hour for new students</t>
    </r>
  </si>
  <si>
    <t>WEC portion per credit hr</t>
  </si>
  <si>
    <t>Annual Stipend on a .50 = $22,753.85</t>
  </si>
  <si>
    <t> $  5,913.36</t>
  </si>
  <si>
    <t>Fall 2022 - must enroll for  9 credit hrs $208.31/CH</t>
  </si>
  <si>
    <r>
      <t>Out-of-State portion</t>
    </r>
    <r>
      <rPr>
        <b/>
        <u/>
        <sz val="10"/>
        <color indexed="10"/>
        <rFont val="Arial"/>
        <family val="2"/>
      </rPr>
      <t xml:space="preserve"> FY22-23</t>
    </r>
    <r>
      <rPr>
        <b/>
        <sz val="10"/>
        <color indexed="10"/>
        <rFont val="Arial"/>
        <family val="2"/>
      </rPr>
      <t xml:space="preserve"> $208.31/CrHr</t>
    </r>
  </si>
  <si>
    <t>Wildlife Ecology and Conservation</t>
  </si>
  <si>
    <t>Graduate Assistantships - FAQ Budget Information</t>
  </si>
  <si>
    <t>Graduate Program</t>
  </si>
  <si>
    <t>Hours Weekly</t>
  </si>
  <si>
    <t>Minimum Annual</t>
  </si>
  <si>
    <r>
      <t xml:space="preserve">Biweekly Rate
</t>
    </r>
    <r>
      <rPr>
        <b/>
        <sz val="8"/>
        <color theme="0"/>
        <rFont val="Calibri"/>
        <family val="2"/>
        <scheme val="minor"/>
      </rPr>
      <t>9-mo (19.5pp)
12-mo (26.1pp)</t>
    </r>
  </si>
  <si>
    <t>Hourly Rate</t>
  </si>
  <si>
    <t>Fringe Rate</t>
  </si>
  <si>
    <t>Fringe
Amt</t>
  </si>
  <si>
    <t>Salary
&amp;
Fringe</t>
  </si>
  <si>
    <t>IN-STATE per credit hour</t>
  </si>
  <si>
    <t>OUT-OF-STATE per credit hour</t>
  </si>
  <si>
    <t>Matriculation</t>
  </si>
  <si>
    <t>Student</t>
  </si>
  <si>
    <t>Total</t>
  </si>
  <si>
    <r>
      <rPr>
        <b/>
        <sz val="11"/>
        <color rgb="FFFF0000"/>
        <rFont val="Calibri"/>
        <family val="2"/>
        <scheme val="minor"/>
      </rPr>
      <t>**</t>
    </r>
    <r>
      <rPr>
        <b/>
        <sz val="11"/>
        <color theme="1"/>
        <rFont val="Calibri"/>
        <family val="2"/>
        <scheme val="minor"/>
      </rPr>
      <t>Through Summer 2019, In-State and Out-of-State tuition costs were the same.</t>
    </r>
  </si>
  <si>
    <t>% incr.</t>
  </si>
  <si>
    <r>
      <rPr>
        <sz val="11"/>
        <color theme="1"/>
        <rFont val="Wingdings"/>
        <charset val="2"/>
      </rPr>
      <t>n</t>
    </r>
    <r>
      <rPr>
        <sz val="11"/>
        <color theme="1"/>
        <rFont val="Calibri"/>
        <family val="2"/>
      </rPr>
      <t xml:space="preserve"> </t>
    </r>
    <r>
      <rPr>
        <sz val="10"/>
        <rFont val="Arial"/>
        <family val="2"/>
      </rPr>
      <t>UF|IFAS provides tuition waiver on all assistantships .25FTE</t>
    </r>
    <r>
      <rPr>
        <sz val="11"/>
        <color theme="1"/>
        <rFont val="Calibri"/>
        <family val="2"/>
      </rPr>
      <t>↑</t>
    </r>
  </si>
  <si>
    <r>
      <rPr>
        <sz val="11"/>
        <color theme="1"/>
        <rFont val="Wingdings"/>
        <charset val="2"/>
      </rPr>
      <t>n</t>
    </r>
    <r>
      <rPr>
        <sz val="11"/>
        <color theme="1"/>
        <rFont val="Calibri"/>
        <family val="2"/>
      </rPr>
      <t xml:space="preserve"> </t>
    </r>
    <r>
      <rPr>
        <sz val="10"/>
        <rFont val="Arial"/>
        <family val="2"/>
      </rPr>
      <t>Source of salary determines source of waiver</t>
    </r>
  </si>
  <si>
    <r>
      <rPr>
        <sz val="11"/>
        <color theme="1"/>
        <rFont val="Wingdings"/>
        <charset val="2"/>
      </rPr>
      <t>n</t>
    </r>
    <r>
      <rPr>
        <sz val="11"/>
        <color theme="1"/>
        <rFont val="Calibri"/>
        <family val="2"/>
      </rPr>
      <t xml:space="preserve"> </t>
    </r>
    <r>
      <rPr>
        <sz val="10"/>
        <rFont val="Arial"/>
        <family val="2"/>
      </rPr>
      <t>UF|IFAS covers costs of matriculation only</t>
    </r>
  </si>
  <si>
    <r>
      <rPr>
        <sz val="11"/>
        <color theme="1"/>
        <rFont val="Wingdings"/>
        <charset val="2"/>
      </rPr>
      <t>n</t>
    </r>
    <r>
      <rPr>
        <sz val="11"/>
        <color theme="1"/>
        <rFont val="Calibri"/>
        <family val="2"/>
      </rPr>
      <t xml:space="preserve"> </t>
    </r>
    <r>
      <rPr>
        <sz val="10"/>
        <rFont val="Arial"/>
        <family val="2"/>
      </rPr>
      <t>Student responsible for student activity fee at $81.96/credit hour</t>
    </r>
  </si>
  <si>
    <r>
      <rPr>
        <sz val="11"/>
        <color theme="1"/>
        <rFont val="Wingdings"/>
        <charset val="2"/>
      </rPr>
      <t>n</t>
    </r>
    <r>
      <rPr>
        <sz val="11"/>
        <color theme="1"/>
        <rFont val="Calibri"/>
        <family val="2"/>
      </rPr>
      <t xml:space="preserve"> </t>
    </r>
    <r>
      <rPr>
        <sz val="10"/>
        <rFont val="Arial"/>
        <family val="2"/>
      </rPr>
      <t>Student must register 9cr Fall | 9cr Spg | 6cr Sum to maintain assistantship</t>
    </r>
  </si>
  <si>
    <r>
      <rPr>
        <b/>
        <sz val="10"/>
        <color rgb="FFFF0000"/>
        <rFont val="Arial"/>
        <family val="2"/>
      </rPr>
      <t>**</t>
    </r>
    <r>
      <rPr>
        <b/>
        <sz val="10"/>
        <rFont val="Arial"/>
        <family val="2"/>
      </rPr>
      <t>Out-of-State rate increases do NOT apply to In-State (FL resident) costs.</t>
    </r>
  </si>
  <si>
    <t>Fall 2026</t>
  </si>
  <si>
    <t>Fall 2027</t>
  </si>
  <si>
    <t>Fall 2028</t>
  </si>
  <si>
    <t>Fall 2029</t>
  </si>
  <si>
    <t>Fall 2030</t>
  </si>
  <si>
    <t>Fall 2025</t>
  </si>
  <si>
    <t>Academic Year 2025-2026</t>
  </si>
  <si>
    <t>Grant Proposals required an annual 5% increase as of Fall 2025 on.</t>
  </si>
  <si>
    <t>1290.59/cr hr out of state</t>
  </si>
  <si>
    <t>Fall</t>
  </si>
  <si>
    <t>Spring</t>
  </si>
  <si>
    <t>Summer</t>
  </si>
  <si>
    <t>Spring 2026</t>
  </si>
  <si>
    <t>Summer 2026</t>
  </si>
  <si>
    <r>
      <rPr>
        <b/>
        <i/>
        <sz val="11"/>
        <color rgb="FFFF0000"/>
        <rFont val="Arial"/>
        <family val="2"/>
      </rPr>
      <t>*</t>
    </r>
    <r>
      <rPr>
        <b/>
        <i/>
        <sz val="10"/>
        <color theme="5" tint="-0.249977111117893"/>
        <rFont val="Arial"/>
        <family val="2"/>
      </rPr>
      <t>Beginning Fall 2019 through Fall 2024, Out-of-State (Non-FL Resident) tuition will incur an annual increase (see table); capped @ $18211.64 as of Fall 2024</t>
    </r>
  </si>
  <si>
    <r>
      <rPr>
        <b/>
        <sz val="11"/>
        <color rgb="FFFF0000"/>
        <rFont val="Calibri"/>
        <family val="2"/>
        <scheme val="minor"/>
      </rPr>
      <t>**</t>
    </r>
    <r>
      <rPr>
        <b/>
        <sz val="10"/>
        <rFont val="Arial"/>
        <family val="2"/>
      </rPr>
      <t>In-State</t>
    </r>
  </si>
  <si>
    <r>
      <rPr>
        <b/>
        <sz val="11"/>
        <rFont val="Calibri"/>
        <family val="2"/>
        <scheme val="minor"/>
      </rPr>
      <t>Out-of</t>
    </r>
    <r>
      <rPr>
        <b/>
        <sz val="10"/>
        <rFont val="Arial"/>
        <family val="2"/>
      </rPr>
      <t>-State</t>
    </r>
  </si>
  <si>
    <t>Annual Tuition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</si>
</sst>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</numFmts>
  <fonts count="6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0"/>
      <name val="Verdana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u val="singleAccounting"/>
      <sz val="10"/>
      <name val="Arial"/>
      <family val="2"/>
    </font>
    <font>
      <b/>
      <u/>
      <sz val="12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0"/>
      <color indexed="60"/>
      <name val="Arial"/>
      <family val="2"/>
    </font>
    <font>
      <sz val="10"/>
      <name val="Arial"/>
      <family val="2"/>
    </font>
    <font>
      <u/>
      <sz val="14"/>
      <color indexed="12"/>
      <name val="Arial"/>
      <family val="2"/>
    </font>
    <font>
      <b/>
      <i/>
      <sz val="10"/>
      <color indexed="60"/>
      <name val="Arial"/>
      <family val="2"/>
    </font>
    <font>
      <b/>
      <i/>
      <u/>
      <sz val="10"/>
      <color indexed="60"/>
      <name val="Arial"/>
      <family val="2"/>
    </font>
    <font>
      <b/>
      <u/>
      <sz val="16"/>
      <name val="Verdana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FF"/>
      <name val="Arial"/>
      <family val="2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FF"/>
      <name val="Arial"/>
      <family val="2"/>
    </font>
    <font>
      <i/>
      <sz val="10"/>
      <color rgb="FFFF0000"/>
      <name val="Arial"/>
      <family val="2"/>
    </font>
    <font>
      <sz val="10"/>
      <color rgb="FF0066CC"/>
      <name val="Calibri"/>
      <family val="2"/>
      <scheme val="minor"/>
    </font>
    <font>
      <b/>
      <sz val="10"/>
      <color rgb="FFC00000"/>
      <name val="Arial"/>
      <family val="2"/>
    </font>
    <font>
      <sz val="8"/>
      <color rgb="FFFF0000"/>
      <name val="Arial"/>
      <family val="2"/>
    </font>
    <font>
      <b/>
      <sz val="10"/>
      <color rgb="FF0066CC"/>
      <name val="Calibri"/>
      <family val="2"/>
      <scheme val="minor"/>
    </font>
    <font>
      <b/>
      <sz val="9"/>
      <color rgb="FF003572"/>
      <name val="Verdana"/>
      <family val="2"/>
    </font>
    <font>
      <sz val="9"/>
      <color rgb="FF003572"/>
      <name val="Verdana"/>
      <family val="2"/>
    </font>
    <font>
      <b/>
      <i/>
      <sz val="9"/>
      <color rgb="FFC00000"/>
      <name val="Arial"/>
      <family val="2"/>
    </font>
    <font>
      <b/>
      <sz val="10"/>
      <color rgb="FFFF0000"/>
      <name val="Arial"/>
      <family val="2"/>
    </font>
    <font>
      <b/>
      <i/>
      <sz val="10"/>
      <color rgb="FFC00000"/>
      <name val="Arial"/>
      <family val="2"/>
    </font>
    <font>
      <b/>
      <sz val="16"/>
      <color theme="4" tint="-0.499984740745262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5" tint="-0.249977111117893"/>
      <name val="Arial"/>
      <family val="2"/>
    </font>
    <font>
      <b/>
      <i/>
      <sz val="11"/>
      <color rgb="FFFF0000"/>
      <name val="Arial"/>
      <family val="2"/>
    </font>
    <font>
      <sz val="11"/>
      <color theme="1"/>
      <name val="Calibri"/>
      <family val="2"/>
      <charset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</font>
    <font>
      <sz val="16"/>
      <color rgb="FFFF0000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2" fontId="0" fillId="0" borderId="0" xfId="0" applyNumberFormat="1"/>
    <xf numFmtId="165" fontId="0" fillId="0" borderId="0" xfId="0" applyNumberFormat="1"/>
    <xf numFmtId="0" fontId="7" fillId="0" borderId="0" xfId="0" applyFont="1" applyAlignment="1">
      <alignment horizontal="right"/>
    </xf>
    <xf numFmtId="0" fontId="0" fillId="2" borderId="0" xfId="0" applyFill="1"/>
    <xf numFmtId="0" fontId="3" fillId="2" borderId="0" xfId="0" applyFont="1" applyFill="1"/>
    <xf numFmtId="0" fontId="3" fillId="3" borderId="0" xfId="0" applyFont="1" applyFill="1"/>
    <xf numFmtId="0" fontId="0" fillId="3" borderId="0" xfId="0" applyFill="1"/>
    <xf numFmtId="0" fontId="5" fillId="0" borderId="0" xfId="0" applyFont="1"/>
    <xf numFmtId="164" fontId="5" fillId="0" borderId="0" xfId="0" applyNumberFormat="1" applyFont="1"/>
    <xf numFmtId="164" fontId="7" fillId="0" borderId="0" xfId="0" applyNumberFormat="1" applyFont="1"/>
    <xf numFmtId="0" fontId="3" fillId="0" borderId="0" xfId="0" applyFont="1"/>
    <xf numFmtId="0" fontId="10" fillId="4" borderId="0" xfId="0" applyFont="1" applyFill="1"/>
    <xf numFmtId="0" fontId="3" fillId="5" borderId="0" xfId="0" applyFont="1" applyFill="1"/>
    <xf numFmtId="0" fontId="9" fillId="5" borderId="0" xfId="0" applyFont="1" applyFill="1"/>
    <xf numFmtId="0" fontId="0" fillId="4" borderId="0" xfId="0" applyFill="1"/>
    <xf numFmtId="0" fontId="12" fillId="0" borderId="0" xfId="0" applyFont="1"/>
    <xf numFmtId="0" fontId="33" fillId="0" borderId="0" xfId="0" applyFont="1"/>
    <xf numFmtId="0" fontId="9" fillId="0" borderId="0" xfId="0" applyFont="1"/>
    <xf numFmtId="0" fontId="13" fillId="0" borderId="0" xfId="0" applyFont="1"/>
    <xf numFmtId="0" fontId="34" fillId="0" borderId="0" xfId="0" applyFont="1"/>
    <xf numFmtId="14" fontId="35" fillId="0" borderId="0" xfId="0" applyNumberFormat="1" applyFont="1"/>
    <xf numFmtId="0" fontId="36" fillId="0" borderId="0" xfId="0" applyFont="1"/>
    <xf numFmtId="0" fontId="14" fillId="0" borderId="0" xfId="0" applyFont="1"/>
    <xf numFmtId="164" fontId="15" fillId="0" borderId="0" xfId="0" applyNumberFormat="1" applyFont="1"/>
    <xf numFmtId="0" fontId="37" fillId="0" borderId="0" xfId="0" applyFont="1"/>
    <xf numFmtId="164" fontId="37" fillId="0" borderId="0" xfId="0" applyNumberFormat="1" applyFont="1"/>
    <xf numFmtId="44" fontId="0" fillId="0" borderId="0" xfId="0" applyNumberFormat="1"/>
    <xf numFmtId="44" fontId="17" fillId="0" borderId="0" xfId="0" applyNumberFormat="1" applyFont="1"/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right"/>
    </xf>
    <xf numFmtId="0" fontId="39" fillId="0" borderId="0" xfId="0" applyFont="1"/>
    <xf numFmtId="44" fontId="39" fillId="0" borderId="0" xfId="0" applyNumberFormat="1" applyFont="1"/>
    <xf numFmtId="0" fontId="4" fillId="0" borderId="0" xfId="0" applyFont="1" applyAlignment="1">
      <alignment horizontal="center"/>
    </xf>
    <xf numFmtId="0" fontId="40" fillId="0" borderId="0" xfId="0" applyFont="1"/>
    <xf numFmtId="164" fontId="17" fillId="0" borderId="0" xfId="0" applyNumberFormat="1" applyFont="1"/>
    <xf numFmtId="0" fontId="18" fillId="0" borderId="0" xfId="0" applyFont="1"/>
    <xf numFmtId="0" fontId="0" fillId="6" borderId="0" xfId="0" applyFill="1"/>
    <xf numFmtId="0" fontId="7" fillId="6" borderId="0" xfId="0" applyFont="1" applyFill="1"/>
    <xf numFmtId="0" fontId="2" fillId="6" borderId="0" xfId="0" applyFont="1" applyFill="1"/>
    <xf numFmtId="8" fontId="2" fillId="0" borderId="0" xfId="0" applyNumberFormat="1" applyFont="1"/>
    <xf numFmtId="0" fontId="36" fillId="6" borderId="0" xfId="0" applyFont="1" applyFill="1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0" fontId="7" fillId="6" borderId="0" xfId="0" applyFont="1" applyFill="1" applyAlignment="1">
      <alignment horizontal="center"/>
    </xf>
    <xf numFmtId="0" fontId="41" fillId="0" borderId="0" xfId="0" applyFont="1"/>
    <xf numFmtId="0" fontId="42" fillId="0" borderId="0" xfId="0" applyFont="1"/>
    <xf numFmtId="164" fontId="9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43" fillId="0" borderId="0" xfId="0" applyFont="1"/>
    <xf numFmtId="0" fontId="44" fillId="0" borderId="0" xfId="0" applyFont="1"/>
    <xf numFmtId="0" fontId="7" fillId="7" borderId="0" xfId="0" applyFont="1" applyFill="1" applyAlignment="1">
      <alignment horizontal="center"/>
    </xf>
    <xf numFmtId="0" fontId="0" fillId="7" borderId="0" xfId="0" applyFill="1"/>
    <xf numFmtId="0" fontId="7" fillId="7" borderId="0" xfId="0" applyFont="1" applyFill="1"/>
    <xf numFmtId="0" fontId="2" fillId="7" borderId="0" xfId="0" applyFont="1" applyFill="1"/>
    <xf numFmtId="0" fontId="22" fillId="0" borderId="0" xfId="0" applyFont="1"/>
    <xf numFmtId="49" fontId="6" fillId="0" borderId="0" xfId="1" applyNumberFormat="1" applyFont="1" applyAlignment="1" applyProtection="1">
      <alignment horizontal="right"/>
    </xf>
    <xf numFmtId="0" fontId="23" fillId="0" borderId="0" xfId="1" applyFont="1" applyAlignment="1" applyProtection="1"/>
    <xf numFmtId="0" fontId="4" fillId="8" borderId="0" xfId="0" applyFont="1" applyFill="1"/>
    <xf numFmtId="0" fontId="0" fillId="8" borderId="0" xfId="0" applyFill="1"/>
    <xf numFmtId="2" fontId="0" fillId="8" borderId="0" xfId="0" applyNumberFormat="1" applyFill="1"/>
    <xf numFmtId="165" fontId="0" fillId="8" borderId="0" xfId="0" applyNumberFormat="1" applyFill="1"/>
    <xf numFmtId="164" fontId="0" fillId="8" borderId="0" xfId="0" applyNumberFormat="1" applyFill="1"/>
    <xf numFmtId="0" fontId="1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44" fillId="0" borderId="4" xfId="0" applyFont="1" applyBorder="1"/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9" fillId="0" borderId="4" xfId="0" applyFont="1" applyBorder="1"/>
    <xf numFmtId="0" fontId="2" fillId="0" borderId="4" xfId="0" applyFont="1" applyBorder="1" applyAlignment="1">
      <alignment horizontal="right"/>
    </xf>
    <xf numFmtId="0" fontId="39" fillId="0" borderId="6" xfId="0" applyFont="1" applyBorder="1" applyAlignment="1">
      <alignment horizontal="right"/>
    </xf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5" xfId="0" applyNumberFormat="1" applyBorder="1" applyAlignment="1">
      <alignment horizontal="center"/>
    </xf>
    <xf numFmtId="43" fontId="17" fillId="0" borderId="0" xfId="0" applyNumberFormat="1" applyFont="1" applyAlignment="1">
      <alignment horizontal="center"/>
    </xf>
    <xf numFmtId="43" fontId="7" fillId="0" borderId="5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5" xfId="0" applyNumberFormat="1" applyFont="1" applyBorder="1" applyAlignment="1">
      <alignment horizontal="center"/>
    </xf>
    <xf numFmtId="43" fontId="39" fillId="0" borderId="7" xfId="0" applyNumberFormat="1" applyFon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49" fontId="6" fillId="0" borderId="0" xfId="1" applyNumberFormat="1" applyFont="1" applyAlignment="1" applyProtection="1">
      <alignment horizontal="left"/>
    </xf>
    <xf numFmtId="0" fontId="23" fillId="0" borderId="0" xfId="1" applyFont="1" applyAlignment="1" applyProtection="1">
      <alignment horizontal="left"/>
    </xf>
    <xf numFmtId="0" fontId="9" fillId="0" borderId="0" xfId="0" applyFont="1" applyAlignment="1">
      <alignment horizontal="center"/>
    </xf>
    <xf numFmtId="0" fontId="2" fillId="9" borderId="0" xfId="0" applyFont="1" applyFill="1"/>
    <xf numFmtId="0" fontId="0" fillId="9" borderId="0" xfId="0" applyFill="1"/>
    <xf numFmtId="0" fontId="3" fillId="10" borderId="0" xfId="0" applyFont="1" applyFill="1"/>
    <xf numFmtId="0" fontId="0" fillId="10" borderId="0" xfId="0" applyFill="1"/>
    <xf numFmtId="0" fontId="0" fillId="0" borderId="7" xfId="0" applyBorder="1"/>
    <xf numFmtId="0" fontId="10" fillId="8" borderId="7" xfId="0" applyFont="1" applyFill="1" applyBorder="1"/>
    <xf numFmtId="0" fontId="0" fillId="8" borderId="7" xfId="0" applyFill="1" applyBorder="1"/>
    <xf numFmtId="0" fontId="9" fillId="11" borderId="0" xfId="0" applyFont="1" applyFill="1" applyAlignment="1">
      <alignment horizontal="center" wrapText="1"/>
    </xf>
    <xf numFmtId="0" fontId="45" fillId="0" borderId="10" xfId="0" applyFont="1" applyBorder="1" applyAlignment="1">
      <alignment vertical="center" wrapText="1"/>
    </xf>
    <xf numFmtId="0" fontId="45" fillId="0" borderId="11" xfId="0" applyFont="1" applyBorder="1" applyAlignment="1">
      <alignment vertical="center" wrapText="1"/>
    </xf>
    <xf numFmtId="0" fontId="46" fillId="0" borderId="12" xfId="0" applyFont="1" applyBorder="1" applyAlignment="1">
      <alignment vertical="center"/>
    </xf>
    <xf numFmtId="0" fontId="46" fillId="0" borderId="13" xfId="0" applyFont="1" applyBorder="1" applyAlignment="1">
      <alignment vertical="center"/>
    </xf>
    <xf numFmtId="9" fontId="46" fillId="0" borderId="13" xfId="0" applyNumberFormat="1" applyFont="1" applyBorder="1" applyAlignment="1">
      <alignment vertical="center"/>
    </xf>
    <xf numFmtId="0" fontId="18" fillId="11" borderId="9" xfId="0" applyFont="1" applyFill="1" applyBorder="1"/>
    <xf numFmtId="0" fontId="0" fillId="0" borderId="9" xfId="0" applyBorder="1"/>
    <xf numFmtId="0" fontId="9" fillId="12" borderId="7" xfId="0" applyFont="1" applyFill="1" applyBorder="1" applyAlignment="1">
      <alignment horizontal="center"/>
    </xf>
    <xf numFmtId="0" fontId="27" fillId="0" borderId="0" xfId="0" applyFont="1"/>
    <xf numFmtId="0" fontId="9" fillId="0" borderId="7" xfId="0" applyFont="1" applyBorder="1"/>
    <xf numFmtId="0" fontId="2" fillId="0" borderId="7" xfId="0" applyFont="1" applyBorder="1"/>
    <xf numFmtId="6" fontId="9" fillId="0" borderId="0" xfId="0" applyNumberFormat="1" applyFont="1"/>
    <xf numFmtId="44" fontId="4" fillId="0" borderId="0" xfId="0" applyNumberFormat="1" applyFont="1"/>
    <xf numFmtId="164" fontId="4" fillId="0" borderId="0" xfId="0" applyNumberFormat="1" applyFont="1"/>
    <xf numFmtId="0" fontId="28" fillId="0" borderId="0" xfId="0" applyFont="1"/>
    <xf numFmtId="44" fontId="46" fillId="0" borderId="13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0" fontId="26" fillId="0" borderId="7" xfId="0" applyFont="1" applyBorder="1"/>
    <xf numFmtId="0" fontId="47" fillId="0" borderId="0" xfId="0" applyFont="1"/>
    <xf numFmtId="0" fontId="42" fillId="0" borderId="4" xfId="0" applyFont="1" applyBorder="1"/>
    <xf numFmtId="0" fontId="11" fillId="0" borderId="0" xfId="1" applyAlignment="1" applyProtection="1">
      <alignment horizontal="left"/>
    </xf>
    <xf numFmtId="0" fontId="48" fillId="0" borderId="0" xfId="0" applyFont="1"/>
    <xf numFmtId="0" fontId="50" fillId="0" borderId="0" xfId="0" applyFont="1"/>
    <xf numFmtId="0" fontId="51" fillId="0" borderId="0" xfId="0" applyFont="1"/>
    <xf numFmtId="49" fontId="52" fillId="13" borderId="7" xfId="0" applyNumberFormat="1" applyFont="1" applyFill="1" applyBorder="1" applyAlignment="1">
      <alignment wrapText="1"/>
    </xf>
    <xf numFmtId="49" fontId="52" fillId="13" borderId="7" xfId="0" applyNumberFormat="1" applyFont="1" applyFill="1" applyBorder="1" applyAlignment="1">
      <alignment horizontal="center" wrapText="1"/>
    </xf>
    <xf numFmtId="2" fontId="52" fillId="13" borderId="7" xfId="0" applyNumberFormat="1" applyFont="1" applyFill="1" applyBorder="1" applyAlignment="1">
      <alignment horizontal="center" wrapText="1"/>
    </xf>
    <xf numFmtId="0" fontId="38" fillId="0" borderId="0" xfId="0" applyFont="1" applyAlignment="1">
      <alignment wrapText="1"/>
    </xf>
    <xf numFmtId="2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54" fillId="13" borderId="0" xfId="0" applyFont="1" applyFill="1"/>
    <xf numFmtId="2" fontId="54" fillId="13" borderId="0" xfId="0" applyNumberFormat="1" applyFont="1" applyFill="1"/>
    <xf numFmtId="44" fontId="54" fillId="13" borderId="0" xfId="0" applyNumberFormat="1" applyFont="1" applyFill="1"/>
    <xf numFmtId="0" fontId="31" fillId="13" borderId="0" xfId="0" applyFont="1" applyFill="1"/>
    <xf numFmtId="2" fontId="31" fillId="13" borderId="0" xfId="0" applyNumberFormat="1" applyFont="1" applyFill="1"/>
    <xf numFmtId="44" fontId="31" fillId="13" borderId="0" xfId="0" applyNumberFormat="1" applyFont="1" applyFill="1"/>
    <xf numFmtId="49" fontId="0" fillId="0" borderId="0" xfId="0" applyNumberFormat="1" applyAlignment="1">
      <alignment horizontal="center"/>
    </xf>
    <xf numFmtId="0" fontId="0" fillId="0" borderId="14" xfId="0" applyBorder="1"/>
    <xf numFmtId="44" fontId="0" fillId="0" borderId="14" xfId="0" applyNumberFormat="1" applyBorder="1"/>
    <xf numFmtId="2" fontId="0" fillId="0" borderId="14" xfId="0" applyNumberFormat="1" applyBorder="1"/>
    <xf numFmtId="49" fontId="0" fillId="0" borderId="14" xfId="0" applyNumberFormat="1" applyBorder="1" applyAlignment="1">
      <alignment horizontal="right"/>
    </xf>
    <xf numFmtId="2" fontId="55" fillId="0" borderId="0" xfId="0" applyNumberFormat="1" applyFont="1" applyAlignment="1">
      <alignment horizontal="left"/>
    </xf>
    <xf numFmtId="44" fontId="55" fillId="0" borderId="0" xfId="0" applyNumberFormat="1" applyFont="1"/>
    <xf numFmtId="49" fontId="55" fillId="0" borderId="0" xfId="0" applyNumberFormat="1" applyFont="1" applyAlignment="1">
      <alignment horizontal="left"/>
    </xf>
    <xf numFmtId="2" fontId="55" fillId="0" borderId="0" xfId="0" applyNumberFormat="1" applyFont="1"/>
    <xf numFmtId="0" fontId="32" fillId="0" borderId="0" xfId="0" applyFont="1"/>
    <xf numFmtId="0" fontId="57" fillId="0" borderId="0" xfId="0" applyFont="1"/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59" fillId="0" borderId="0" xfId="0" applyFont="1"/>
    <xf numFmtId="0" fontId="62" fillId="0" borderId="0" xfId="0" applyFont="1"/>
    <xf numFmtId="49" fontId="1" fillId="0" borderId="14" xfId="0" applyNumberFormat="1" applyFont="1" applyBorder="1" applyAlignment="1">
      <alignment horizontal="right"/>
    </xf>
    <xf numFmtId="44" fontId="1" fillId="0" borderId="0" xfId="0" applyNumberFormat="1" applyFont="1"/>
    <xf numFmtId="49" fontId="0" fillId="0" borderId="0" xfId="0" applyNumberFormat="1" applyAlignment="1">
      <alignment horizontal="right"/>
    </xf>
    <xf numFmtId="49" fontId="2" fillId="0" borderId="14" xfId="0" applyNumberFormat="1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44" fontId="2" fillId="0" borderId="14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9" fillId="0" borderId="0" xfId="0" applyFont="1" applyAlignment="1">
      <alignment wrapText="1"/>
    </xf>
    <xf numFmtId="0" fontId="42" fillId="0" borderId="0" xfId="0" applyFont="1"/>
    <xf numFmtId="0" fontId="12" fillId="0" borderId="0" xfId="0" applyFont="1" applyAlignment="1">
      <alignment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a.ufl.edu/bursar/current-tuition-and-fe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a.ufl.edu/bursar/current-tuition-and-fe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a.ufl.edu/bursar/current-tuition-and-fe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a.ufl.edu/bursar/current-tuition-and-fe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fa.ufl.edu/bursar/current-tuition-and-fee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a.ufl.edu/bursar/current-tuition-and-fee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workbookViewId="0">
      <selection activeCell="J5" sqref="J5"/>
    </sheetView>
  </sheetViews>
  <sheetFormatPr defaultColWidth="9.28515625" defaultRowHeight="12.75"/>
  <cols>
    <col min="1" max="1" width="13.7109375" customWidth="1"/>
    <col min="2" max="2" width="12.28515625" style="5" customWidth="1"/>
    <col min="3" max="3" width="13.42578125" style="5" customWidth="1"/>
    <col min="4" max="5" width="11.5703125" style="31" bestFit="1" customWidth="1"/>
    <col min="6" max="6" width="10.7109375" style="5" customWidth="1"/>
    <col min="7" max="7" width="10.5703125" customWidth="1"/>
    <col min="8" max="8" width="13.7109375" style="31" customWidth="1"/>
    <col min="9" max="9" width="12.5703125" style="31" customWidth="1"/>
    <col min="10" max="10" width="11.85546875" style="31" customWidth="1"/>
    <col min="11" max="13" width="10.5703125" style="31" bestFit="1" customWidth="1"/>
  </cols>
  <sheetData>
    <row r="1" spans="1:14" ht="21">
      <c r="A1" s="132" t="s">
        <v>355</v>
      </c>
    </row>
    <row r="2" spans="1:14" ht="21">
      <c r="A2" s="132" t="s">
        <v>356</v>
      </c>
    </row>
    <row r="3" spans="1:14" ht="21">
      <c r="A3" s="133" t="s">
        <v>384</v>
      </c>
    </row>
    <row r="4" spans="1:14" ht="6" customHeight="1">
      <c r="A4" s="133"/>
    </row>
    <row r="5" spans="1:14" s="137" customFormat="1" ht="48">
      <c r="A5" s="134" t="s">
        <v>357</v>
      </c>
      <c r="B5" s="135" t="s">
        <v>0</v>
      </c>
      <c r="C5" s="135" t="s">
        <v>358</v>
      </c>
      <c r="D5" s="135" t="s">
        <v>359</v>
      </c>
      <c r="E5" s="135" t="s">
        <v>360</v>
      </c>
      <c r="F5" s="136" t="s">
        <v>361</v>
      </c>
      <c r="G5" s="135" t="s">
        <v>362</v>
      </c>
      <c r="H5" s="135" t="s">
        <v>363</v>
      </c>
      <c r="I5" s="135" t="s">
        <v>364</v>
      </c>
      <c r="J5" s="135" t="s">
        <v>395</v>
      </c>
      <c r="K5" s="135" t="s">
        <v>383</v>
      </c>
      <c r="L5" s="135" t="s">
        <v>390</v>
      </c>
      <c r="M5" s="135" t="s">
        <v>391</v>
      </c>
    </row>
    <row r="6" spans="1:14">
      <c r="A6" t="s">
        <v>251</v>
      </c>
      <c r="B6" s="138">
        <v>0.5</v>
      </c>
      <c r="C6" s="138">
        <v>20</v>
      </c>
      <c r="D6" s="139">
        <v>29000</v>
      </c>
      <c r="E6" s="139">
        <f>D6/26.1</f>
        <v>1111.1111111111111</v>
      </c>
      <c r="F6" s="138">
        <f>E6/C6*B6</f>
        <v>27.777777777777779</v>
      </c>
      <c r="G6" s="140">
        <v>0.14199999999999999</v>
      </c>
      <c r="H6" s="139">
        <f>D6*G6</f>
        <v>4118</v>
      </c>
      <c r="I6" s="139">
        <f>SUM(D6,H6)</f>
        <v>33118</v>
      </c>
      <c r="J6" s="139">
        <v>20032.8</v>
      </c>
      <c r="K6" s="139">
        <f>J6/24*9</f>
        <v>7512.2999999999993</v>
      </c>
      <c r="L6" s="139">
        <f>J6/24*9</f>
        <v>7512.2999999999993</v>
      </c>
      <c r="M6" s="139">
        <f>J6/24*6</f>
        <v>5008.2</v>
      </c>
    </row>
    <row r="7" spans="1:14" ht="20.25">
      <c r="A7" t="s">
        <v>252</v>
      </c>
      <c r="B7" s="138">
        <v>0.5</v>
      </c>
      <c r="C7" s="138">
        <v>20</v>
      </c>
      <c r="D7" s="139">
        <v>27467</v>
      </c>
      <c r="E7" s="139">
        <f>D7/26.1</f>
        <v>1052.3754789272029</v>
      </c>
      <c r="F7" s="138">
        <f>E7/C7*B7</f>
        <v>26.309386973180075</v>
      </c>
      <c r="G7" s="140">
        <v>0.14199999999999999</v>
      </c>
      <c r="H7" s="139">
        <f>D7*G7</f>
        <v>3900.3139999999999</v>
      </c>
      <c r="I7" s="139">
        <f>SUM(D7,H7)</f>
        <v>31367.313999999998</v>
      </c>
      <c r="J7" s="139">
        <v>20032.8</v>
      </c>
      <c r="K7" s="139">
        <f>J7/24*9</f>
        <v>7512.2999999999993</v>
      </c>
      <c r="L7" s="139">
        <f>J7/24*9</f>
        <v>7512.2999999999993</v>
      </c>
      <c r="M7" s="139">
        <f>J7/24*6</f>
        <v>5008.2</v>
      </c>
      <c r="N7" s="161"/>
    </row>
    <row r="8" spans="1:14" ht="15" customHeight="1">
      <c r="C8" s="3"/>
      <c r="D8" s="3"/>
      <c r="E8" s="3"/>
      <c r="F8" s="3"/>
      <c r="G8" s="3"/>
      <c r="H8"/>
    </row>
    <row r="9" spans="1:14" ht="5.25" customHeight="1">
      <c r="A9" s="141"/>
      <c r="B9" s="142"/>
      <c r="C9" s="142"/>
      <c r="D9" s="143"/>
      <c r="E9" s="143"/>
      <c r="F9" s="142"/>
      <c r="G9" s="141"/>
      <c r="H9" s="143"/>
      <c r="I9" s="143"/>
      <c r="J9" s="143"/>
      <c r="K9" s="143"/>
      <c r="L9" s="143"/>
      <c r="M9" s="143"/>
    </row>
    <row r="10" spans="1:14" ht="15" customHeight="1">
      <c r="C10" s="3"/>
      <c r="D10" s="3"/>
      <c r="E10" s="3"/>
      <c r="F10" s="3"/>
      <c r="G10" s="3"/>
      <c r="H10"/>
    </row>
    <row r="11" spans="1:14" ht="15">
      <c r="A11" s="144" t="s">
        <v>365</v>
      </c>
      <c r="B11" s="145"/>
      <c r="C11" s="145"/>
      <c r="D11" s="146"/>
      <c r="F11" s="144" t="s">
        <v>366</v>
      </c>
      <c r="G11" s="145"/>
      <c r="H11" s="145"/>
      <c r="I11" s="146"/>
    </row>
    <row r="12" spans="1:14">
      <c r="C12" s="138" t="s">
        <v>367</v>
      </c>
      <c r="D12" s="147" t="s">
        <v>368</v>
      </c>
      <c r="F12" s="31"/>
      <c r="G12" s="31"/>
      <c r="H12" s="138" t="s">
        <v>367</v>
      </c>
      <c r="I12" s="147" t="s">
        <v>368</v>
      </c>
    </row>
    <row r="13" spans="1:14">
      <c r="A13" s="148" t="s">
        <v>369</v>
      </c>
      <c r="B13" s="149">
        <v>530.69000000000005</v>
      </c>
      <c r="C13" s="150">
        <v>448.73</v>
      </c>
      <c r="D13" s="149">
        <v>81.96</v>
      </c>
      <c r="F13" s="162" t="s">
        <v>383</v>
      </c>
      <c r="G13" s="149">
        <f>B30/24</f>
        <v>834.70016666666663</v>
      </c>
      <c r="H13" s="150">
        <f>G13-I13</f>
        <v>752.7401666666666</v>
      </c>
      <c r="I13" s="149">
        <v>81.96</v>
      </c>
      <c r="K13" s="163" t="s">
        <v>386</v>
      </c>
    </row>
    <row r="14" spans="1:14">
      <c r="A14" s="152"/>
      <c r="B14" s="153"/>
      <c r="C14" s="154"/>
      <c r="D14" s="155"/>
      <c r="F14" s="162" t="s">
        <v>378</v>
      </c>
      <c r="G14" s="149">
        <f t="shared" ref="G14:G17" si="0">B31/24</f>
        <v>918.17018333333351</v>
      </c>
      <c r="H14" s="150">
        <f t="shared" ref="H14:H17" si="1">G14-I14</f>
        <v>836.21018333333348</v>
      </c>
      <c r="I14" s="149">
        <v>81.96</v>
      </c>
    </row>
    <row r="15" spans="1:14">
      <c r="F15" s="162" t="s">
        <v>379</v>
      </c>
      <c r="G15" s="149">
        <f t="shared" si="0"/>
        <v>964.07869250000022</v>
      </c>
      <c r="H15" s="150">
        <f t="shared" si="1"/>
        <v>882.11869250000018</v>
      </c>
      <c r="I15" s="149">
        <v>81.96</v>
      </c>
    </row>
    <row r="16" spans="1:14">
      <c r="F16" s="162" t="s">
        <v>380</v>
      </c>
      <c r="G16" s="149">
        <f t="shared" si="0"/>
        <v>1012.2826271250002</v>
      </c>
      <c r="H16" s="150">
        <f t="shared" si="1"/>
        <v>930.32262712500017</v>
      </c>
      <c r="I16" s="149">
        <v>81.96</v>
      </c>
    </row>
    <row r="17" spans="1:13">
      <c r="F17" s="162" t="s">
        <v>381</v>
      </c>
      <c r="G17" s="149">
        <f t="shared" si="0"/>
        <v>1062.8967584812503</v>
      </c>
      <c r="H17" s="150">
        <f t="shared" si="1"/>
        <v>980.93675848125031</v>
      </c>
      <c r="I17" s="149">
        <v>81.96</v>
      </c>
    </row>
    <row r="18" spans="1:13">
      <c r="F18" s="162" t="s">
        <v>382</v>
      </c>
      <c r="G18" s="149">
        <f>B35/24</f>
        <v>1116.0415964053129</v>
      </c>
      <c r="H18" s="150">
        <f>G18-I18</f>
        <v>1034.0815964053129</v>
      </c>
      <c r="I18" s="149">
        <v>81.96</v>
      </c>
    </row>
    <row r="19" spans="1:13">
      <c r="F19" s="152"/>
      <c r="G19" s="153"/>
    </row>
    <row r="20" spans="1:13" ht="5.25" customHeight="1">
      <c r="A20" s="141"/>
      <c r="B20" s="142"/>
      <c r="C20" s="142"/>
      <c r="D20" s="143"/>
      <c r="E20" s="143"/>
      <c r="F20" s="142"/>
      <c r="G20" s="141"/>
      <c r="H20" s="143"/>
      <c r="I20" s="143"/>
      <c r="J20" s="143"/>
      <c r="K20" s="143"/>
      <c r="L20" s="143"/>
      <c r="M20" s="143"/>
    </row>
    <row r="21" spans="1:13">
      <c r="F21" s="152"/>
      <c r="G21" s="153"/>
    </row>
    <row r="22" spans="1:13" ht="15">
      <c r="A22" s="156" t="s">
        <v>370</v>
      </c>
    </row>
    <row r="23" spans="1:13">
      <c r="A23" s="3" t="s">
        <v>377</v>
      </c>
    </row>
    <row r="24" spans="1:13" ht="14.25">
      <c r="A24" s="157" t="s">
        <v>392</v>
      </c>
    </row>
    <row r="26" spans="1:13" ht="15">
      <c r="A26" s="165" t="s">
        <v>393</v>
      </c>
      <c r="B26" s="166" t="s">
        <v>369</v>
      </c>
      <c r="C26" s="166" t="s">
        <v>387</v>
      </c>
      <c r="D26" s="167" t="s">
        <v>388</v>
      </c>
      <c r="E26" s="167" t="s">
        <v>389</v>
      </c>
    </row>
    <row r="27" spans="1:13">
      <c r="A27" s="151"/>
      <c r="B27" s="149">
        <v>10769.52</v>
      </c>
      <c r="C27" s="149">
        <f>B27/24*9</f>
        <v>4038.57</v>
      </c>
      <c r="D27" s="149">
        <f>B27/24*9</f>
        <v>4038.57</v>
      </c>
      <c r="E27" s="149">
        <f>B27/24*6</f>
        <v>2692.38</v>
      </c>
      <c r="F27" s="138"/>
    </row>
    <row r="28" spans="1:13">
      <c r="A28" s="164"/>
      <c r="B28" s="31"/>
      <c r="C28" s="31"/>
      <c r="F28" s="138"/>
    </row>
    <row r="29" spans="1:13" ht="15">
      <c r="A29" s="165" t="s">
        <v>394</v>
      </c>
      <c r="B29" s="166" t="s">
        <v>369</v>
      </c>
      <c r="C29" s="166" t="s">
        <v>387</v>
      </c>
      <c r="D29" s="167" t="s">
        <v>388</v>
      </c>
      <c r="E29" s="167" t="s">
        <v>389</v>
      </c>
      <c r="F29" s="168" t="s">
        <v>371</v>
      </c>
    </row>
    <row r="30" spans="1:13">
      <c r="A30" s="151" t="s">
        <v>383</v>
      </c>
      <c r="B30" s="149">
        <v>20032.804</v>
      </c>
      <c r="C30" s="149">
        <f t="shared" ref="C30:C35" si="2">B30/24*9</f>
        <v>7512.3014999999996</v>
      </c>
      <c r="D30" s="149">
        <f t="shared" ref="D30:D35" si="3">B30/24*9</f>
        <v>7512.3014999999996</v>
      </c>
      <c r="E30" s="149">
        <f t="shared" ref="E30:E35" si="4">B30/24*6</f>
        <v>5008.201</v>
      </c>
      <c r="F30" s="158">
        <v>0.1</v>
      </c>
      <c r="G30" s="1" t="s">
        <v>385</v>
      </c>
    </row>
    <row r="31" spans="1:13">
      <c r="A31" s="151" t="s">
        <v>378</v>
      </c>
      <c r="B31" s="149">
        <f>B30*1.1</f>
        <v>22036.084400000003</v>
      </c>
      <c r="C31" s="149">
        <f t="shared" si="2"/>
        <v>8263.5316500000008</v>
      </c>
      <c r="D31" s="149">
        <f t="shared" si="3"/>
        <v>8263.5316500000008</v>
      </c>
      <c r="E31" s="149">
        <f t="shared" si="4"/>
        <v>5509.0211000000008</v>
      </c>
      <c r="F31" s="158">
        <v>0.1</v>
      </c>
    </row>
    <row r="32" spans="1:13" ht="12.95" customHeight="1">
      <c r="A32" s="151" t="s">
        <v>379</v>
      </c>
      <c r="B32" s="149">
        <f>B31*1.05</f>
        <v>23137.888620000005</v>
      </c>
      <c r="C32" s="149">
        <f t="shared" si="2"/>
        <v>8676.708232500001</v>
      </c>
      <c r="D32" s="149">
        <f t="shared" si="3"/>
        <v>8676.708232500001</v>
      </c>
      <c r="E32" s="149">
        <f t="shared" si="4"/>
        <v>5784.4721550000013</v>
      </c>
      <c r="F32" s="158">
        <v>0.05</v>
      </c>
    </row>
    <row r="33" spans="1:13">
      <c r="A33" s="151" t="s">
        <v>380</v>
      </c>
      <c r="B33" s="149">
        <f t="shared" ref="B33:B35" si="5">B32*1.05</f>
        <v>24294.783051000006</v>
      </c>
      <c r="C33" s="149">
        <f t="shared" si="2"/>
        <v>9110.5436441250022</v>
      </c>
      <c r="D33" s="149">
        <f t="shared" si="3"/>
        <v>9110.5436441250022</v>
      </c>
      <c r="E33" s="149">
        <f t="shared" si="4"/>
        <v>6073.6957627500014</v>
      </c>
      <c r="F33" s="158">
        <v>0.05</v>
      </c>
    </row>
    <row r="34" spans="1:13">
      <c r="A34" s="151" t="s">
        <v>381</v>
      </c>
      <c r="B34" s="149">
        <f t="shared" si="5"/>
        <v>25509.522203550008</v>
      </c>
      <c r="C34" s="149">
        <f t="shared" si="2"/>
        <v>9566.0708263312536</v>
      </c>
      <c r="D34" s="149">
        <f t="shared" si="3"/>
        <v>9566.0708263312536</v>
      </c>
      <c r="E34" s="149">
        <f t="shared" si="4"/>
        <v>6377.3805508875021</v>
      </c>
      <c r="F34" s="158">
        <v>0.05</v>
      </c>
    </row>
    <row r="35" spans="1:13">
      <c r="A35" s="151" t="s">
        <v>382</v>
      </c>
      <c r="B35" s="149">
        <f t="shared" si="5"/>
        <v>26784.998313727509</v>
      </c>
      <c r="C35" s="149">
        <f t="shared" si="2"/>
        <v>10044.374367647817</v>
      </c>
      <c r="D35" s="149">
        <f t="shared" si="3"/>
        <v>10044.374367647817</v>
      </c>
      <c r="E35" s="149">
        <f t="shared" si="4"/>
        <v>6696.249578431878</v>
      </c>
      <c r="F35" s="158">
        <v>0.05</v>
      </c>
    </row>
    <row r="36" spans="1:13" ht="15" customHeight="1"/>
    <row r="37" spans="1:13" ht="5.25" customHeight="1">
      <c r="A37" s="141"/>
      <c r="B37" s="142"/>
      <c r="C37" s="142"/>
      <c r="D37" s="143"/>
      <c r="E37" s="143"/>
      <c r="F37" s="142"/>
      <c r="G37" s="141"/>
      <c r="H37" s="143"/>
      <c r="I37" s="143"/>
      <c r="J37" s="143"/>
      <c r="K37" s="143"/>
      <c r="L37" s="143"/>
      <c r="M37" s="143"/>
    </row>
    <row r="38" spans="1:13" ht="18">
      <c r="A38" s="98" t="s">
        <v>238</v>
      </c>
      <c r="D38" s="130" t="s">
        <v>213</v>
      </c>
      <c r="G38" s="159"/>
      <c r="H38" s="159"/>
    </row>
    <row r="39" spans="1:13" ht="15">
      <c r="A39" s="160" t="s">
        <v>372</v>
      </c>
    </row>
    <row r="40" spans="1:13" ht="15">
      <c r="A40" s="160" t="s">
        <v>373</v>
      </c>
    </row>
    <row r="41" spans="1:13" ht="15">
      <c r="A41" s="160" t="s">
        <v>374</v>
      </c>
    </row>
    <row r="42" spans="1:13" ht="15">
      <c r="A42" s="160" t="s">
        <v>375</v>
      </c>
    </row>
    <row r="43" spans="1:13" ht="15">
      <c r="A43" s="160" t="s">
        <v>376</v>
      </c>
    </row>
    <row r="44" spans="1:13">
      <c r="A44" s="1"/>
    </row>
    <row r="45" spans="1:13">
      <c r="A45" s="1"/>
    </row>
  </sheetData>
  <phoneticPr fontId="63" type="noConversion"/>
  <hyperlinks>
    <hyperlink ref="D3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M98"/>
  <sheetViews>
    <sheetView zoomScaleNormal="100" workbookViewId="0">
      <selection activeCell="F35" sqref="F35"/>
    </sheetView>
  </sheetViews>
  <sheetFormatPr defaultRowHeight="12.75"/>
  <cols>
    <col min="3" max="4" width="13.28515625" customWidth="1"/>
    <col min="5" max="5" width="16.140625" customWidth="1"/>
    <col min="6" max="6" width="13.28515625" customWidth="1"/>
    <col min="7" max="7" width="9.42578125" customWidth="1"/>
    <col min="8" max="8" width="10.7109375" customWidth="1"/>
    <col min="10" max="10" width="38.85546875" customWidth="1"/>
    <col min="11" max="12" width="14" customWidth="1"/>
    <col min="13" max="13" width="15.28515625" bestFit="1" customWidth="1"/>
  </cols>
  <sheetData>
    <row r="1" spans="1:13" ht="20.25">
      <c r="A1" s="169" t="s">
        <v>15</v>
      </c>
      <c r="B1" s="169"/>
      <c r="C1" s="169"/>
      <c r="D1" s="169"/>
      <c r="E1" s="169"/>
      <c r="F1" s="169"/>
      <c r="G1" s="169"/>
      <c r="H1" s="169"/>
      <c r="J1" s="73" t="s">
        <v>328</v>
      </c>
      <c r="K1" s="74"/>
      <c r="L1" s="74"/>
      <c r="M1" s="75"/>
    </row>
    <row r="2" spans="1:13" ht="18">
      <c r="A2" s="170" t="s">
        <v>13</v>
      </c>
      <c r="B2" s="170"/>
      <c r="C2" s="170"/>
      <c r="D2" s="170"/>
      <c r="E2" s="170"/>
      <c r="F2" s="170"/>
      <c r="G2" s="170"/>
      <c r="H2" s="170"/>
      <c r="J2" s="76"/>
      <c r="M2" s="77"/>
    </row>
    <row r="3" spans="1:13" ht="18">
      <c r="A3" s="170" t="s">
        <v>14</v>
      </c>
      <c r="B3" s="170"/>
      <c r="C3" s="170"/>
      <c r="D3" s="170"/>
      <c r="E3" s="170"/>
      <c r="F3" s="170"/>
      <c r="G3" s="170"/>
      <c r="H3" s="170"/>
      <c r="J3" s="78" t="s">
        <v>314</v>
      </c>
      <c r="K3" s="35" t="s">
        <v>281</v>
      </c>
      <c r="L3" s="35" t="s">
        <v>322</v>
      </c>
      <c r="M3" s="79" t="s">
        <v>323</v>
      </c>
    </row>
    <row r="4" spans="1:13" ht="23.25">
      <c r="A4" s="21" t="s">
        <v>319</v>
      </c>
      <c r="J4" s="80" t="s">
        <v>315</v>
      </c>
      <c r="K4" s="81" t="s">
        <v>324</v>
      </c>
      <c r="L4" s="81" t="s">
        <v>325</v>
      </c>
      <c r="M4" s="82" t="s">
        <v>326</v>
      </c>
    </row>
    <row r="5" spans="1:13">
      <c r="A5" s="3" t="s">
        <v>320</v>
      </c>
      <c r="J5" s="83" t="s">
        <v>316</v>
      </c>
      <c r="K5" s="90">
        <f>SUM(E15/26.1*9.9)</f>
        <v>9482.758620689654</v>
      </c>
      <c r="L5" s="90">
        <f>SUM(E15/26.1*9.6)</f>
        <v>9195.4022988505731</v>
      </c>
      <c r="M5" s="91">
        <f>SUM(E15/26/1*6.6)</f>
        <v>6346.1538461538457</v>
      </c>
    </row>
    <row r="6" spans="1:13">
      <c r="J6" s="83" t="s">
        <v>327</v>
      </c>
      <c r="K6" s="90">
        <f>K5*0.124</f>
        <v>1175.862068965517</v>
      </c>
      <c r="L6" s="90">
        <f>L5*0.124</f>
        <v>1140.2298850574712</v>
      </c>
      <c r="M6" s="91">
        <f>M5*0.124</f>
        <v>786.92307692307691</v>
      </c>
    </row>
    <row r="7" spans="1:13" ht="15.75">
      <c r="A7" s="9" t="s">
        <v>26</v>
      </c>
      <c r="B7" s="8"/>
      <c r="C7" s="8"/>
      <c r="D7" s="8"/>
      <c r="E7" s="8"/>
      <c r="F7" s="8"/>
      <c r="G7" s="8"/>
      <c r="H7" s="8"/>
      <c r="J7" s="76"/>
      <c r="K7" s="90"/>
      <c r="L7" s="90"/>
      <c r="M7" s="91"/>
    </row>
    <row r="8" spans="1:13" ht="15.75">
      <c r="A8" s="15"/>
      <c r="J8" s="83" t="s">
        <v>53</v>
      </c>
      <c r="K8" s="90"/>
      <c r="L8" s="90"/>
      <c r="M8" s="91"/>
    </row>
    <row r="9" spans="1:13" ht="15">
      <c r="B9" t="s">
        <v>71</v>
      </c>
      <c r="J9" s="83" t="s">
        <v>340</v>
      </c>
      <c r="K9" s="92">
        <f>F85</f>
        <v>5913</v>
      </c>
      <c r="L9" s="126">
        <f>F86</f>
        <v>5913</v>
      </c>
      <c r="M9" s="125">
        <f>F87</f>
        <v>3943</v>
      </c>
    </row>
    <row r="10" spans="1:13">
      <c r="B10" s="22" t="s">
        <v>295</v>
      </c>
      <c r="J10" s="129"/>
      <c r="K10" s="90"/>
      <c r="L10" s="90"/>
      <c r="M10" s="91"/>
    </row>
    <row r="11" spans="1:13">
      <c r="J11" s="84" t="s">
        <v>55</v>
      </c>
      <c r="K11" s="94">
        <f>SUM(K5:K10)</f>
        <v>16571.62068965517</v>
      </c>
      <c r="L11" s="94">
        <f>SUM(L5:L10)</f>
        <v>16248.632183908045</v>
      </c>
      <c r="M11" s="95">
        <f>SUM(M5:M9)</f>
        <v>11076.076923076922</v>
      </c>
    </row>
    <row r="12" spans="1:13" ht="19.5">
      <c r="A12" s="127" t="s">
        <v>251</v>
      </c>
      <c r="B12" s="105"/>
      <c r="C12" s="105"/>
      <c r="D12" s="105"/>
      <c r="E12" s="105"/>
      <c r="F12" s="105"/>
      <c r="G12" s="105"/>
      <c r="H12" s="105"/>
      <c r="J12" s="76"/>
      <c r="K12" s="90"/>
      <c r="L12" s="90"/>
      <c r="M12" s="91"/>
    </row>
    <row r="13" spans="1:13" ht="15.75">
      <c r="C13" s="7" t="s">
        <v>0</v>
      </c>
      <c r="D13" s="7" t="s">
        <v>4</v>
      </c>
      <c r="E13" s="7" t="s">
        <v>1</v>
      </c>
      <c r="F13" s="7" t="s">
        <v>2</v>
      </c>
      <c r="G13" s="7" t="s">
        <v>3</v>
      </c>
      <c r="J13" s="85" t="s">
        <v>57</v>
      </c>
      <c r="K13" s="96"/>
      <c r="L13" s="96">
        <f>SUM(K11:M11)</f>
        <v>43896.329796640137</v>
      </c>
      <c r="M13" s="97"/>
    </row>
    <row r="14" spans="1:13">
      <c r="C14" s="5">
        <v>1</v>
      </c>
      <c r="D14" s="6">
        <v>80</v>
      </c>
      <c r="E14" s="2">
        <v>50000</v>
      </c>
      <c r="F14" s="2">
        <f t="shared" ref="F14:F19" si="0">SUM(E14/26.1)</f>
        <v>1915.7088122605362</v>
      </c>
      <c r="G14" s="2">
        <f t="shared" ref="G14:G19" si="1">SUM(F14)/D14</f>
        <v>23.946360153256702</v>
      </c>
      <c r="K14" s="89"/>
      <c r="L14" s="89"/>
      <c r="M14" s="89"/>
    </row>
    <row r="15" spans="1:13" ht="15.75">
      <c r="A15" s="68" t="s">
        <v>312</v>
      </c>
      <c r="B15" s="69"/>
      <c r="C15" s="70">
        <v>0.5</v>
      </c>
      <c r="D15" s="71">
        <v>40</v>
      </c>
      <c r="E15" s="72">
        <v>25000</v>
      </c>
      <c r="F15" s="72">
        <f t="shared" si="0"/>
        <v>957.8544061302681</v>
      </c>
      <c r="G15" s="72">
        <f t="shared" si="1"/>
        <v>23.946360153256702</v>
      </c>
      <c r="H15" s="69"/>
      <c r="J15" s="86" t="s">
        <v>317</v>
      </c>
      <c r="K15" s="35" t="s">
        <v>281</v>
      </c>
      <c r="L15" s="35" t="s">
        <v>322</v>
      </c>
      <c r="M15" s="79" t="s">
        <v>323</v>
      </c>
    </row>
    <row r="16" spans="1:13" ht="22.5">
      <c r="A16" s="58"/>
      <c r="C16" s="5">
        <v>0.44</v>
      </c>
      <c r="D16" s="6">
        <v>35.200000000000003</v>
      </c>
      <c r="E16" s="2">
        <v>22000</v>
      </c>
      <c r="F16" s="2">
        <f t="shared" si="0"/>
        <v>842.91187739463601</v>
      </c>
      <c r="G16" s="2">
        <f t="shared" si="1"/>
        <v>23.946360153256702</v>
      </c>
      <c r="J16" s="80" t="s">
        <v>351</v>
      </c>
      <c r="K16" s="81" t="s">
        <v>324</v>
      </c>
      <c r="L16" s="81" t="s">
        <v>325</v>
      </c>
      <c r="M16" s="82" t="s">
        <v>326</v>
      </c>
    </row>
    <row r="17" spans="1:13">
      <c r="A17" s="58"/>
      <c r="C17" s="5">
        <v>0.4</v>
      </c>
      <c r="D17" s="6">
        <v>32</v>
      </c>
      <c r="E17" s="2">
        <v>20000</v>
      </c>
      <c r="F17" s="2">
        <f t="shared" si="0"/>
        <v>766.28352490421457</v>
      </c>
      <c r="G17" s="2">
        <f t="shared" si="1"/>
        <v>23.946360153256705</v>
      </c>
      <c r="J17" s="83" t="s">
        <v>318</v>
      </c>
      <c r="K17" s="90">
        <f>SUM(E25/26.1*9.9)</f>
        <v>8630.7706896551717</v>
      </c>
      <c r="L17" s="90">
        <f>SUM(E25/26.1*9.6)</f>
        <v>8369.232183908045</v>
      </c>
      <c r="M17" s="91">
        <f>SUM(E25/26/1*6.6)</f>
        <v>5775.9773076923066</v>
      </c>
    </row>
    <row r="18" spans="1:13">
      <c r="A18" s="59"/>
      <c r="C18" s="5">
        <v>0.33</v>
      </c>
      <c r="D18" s="6">
        <v>26.4</v>
      </c>
      <c r="E18" s="2">
        <v>16500</v>
      </c>
      <c r="F18" s="2">
        <f t="shared" si="0"/>
        <v>632.18390804597698</v>
      </c>
      <c r="G18" s="2">
        <f t="shared" si="1"/>
        <v>23.946360153256705</v>
      </c>
      <c r="J18" s="83" t="s">
        <v>327</v>
      </c>
      <c r="K18" s="90">
        <f>K17*0.124</f>
        <v>1070.2155655172412</v>
      </c>
      <c r="L18" s="90">
        <f>L17*0.124</f>
        <v>1037.7847908045976</v>
      </c>
      <c r="M18" s="91">
        <f>M17*0.124</f>
        <v>716.22118615384602</v>
      </c>
    </row>
    <row r="19" spans="1:13">
      <c r="C19" s="5">
        <v>0.25</v>
      </c>
      <c r="D19" s="6">
        <v>20</v>
      </c>
      <c r="E19" s="2">
        <v>12500</v>
      </c>
      <c r="F19" s="2">
        <f t="shared" si="0"/>
        <v>478.92720306513405</v>
      </c>
      <c r="G19" s="2">
        <f t="shared" si="1"/>
        <v>23.946360153256702</v>
      </c>
      <c r="J19" s="76"/>
      <c r="K19" s="90"/>
      <c r="L19" s="90"/>
      <c r="M19" s="91"/>
    </row>
    <row r="20" spans="1:13">
      <c r="C20" s="5"/>
      <c r="D20" s="6"/>
      <c r="E20" s="2"/>
      <c r="F20" s="2"/>
      <c r="G20" s="2"/>
      <c r="J20" s="83" t="s">
        <v>53</v>
      </c>
      <c r="K20" s="90"/>
      <c r="L20" s="90"/>
      <c r="M20" s="91"/>
    </row>
    <row r="21" spans="1:13" ht="15">
      <c r="J21" s="83" t="s">
        <v>340</v>
      </c>
      <c r="K21" s="92">
        <f>F85</f>
        <v>5913</v>
      </c>
      <c r="L21" s="92">
        <f>F86</f>
        <v>5913</v>
      </c>
      <c r="M21" s="93">
        <f>F87</f>
        <v>3943</v>
      </c>
    </row>
    <row r="22" spans="1:13" ht="19.5">
      <c r="A22" s="127" t="s">
        <v>252</v>
      </c>
      <c r="B22" s="105"/>
      <c r="C22" s="105"/>
      <c r="D22" s="105"/>
      <c r="E22" s="105"/>
      <c r="F22" s="105"/>
      <c r="G22" s="105"/>
      <c r="H22" s="105"/>
      <c r="J22" s="129"/>
      <c r="K22" s="90"/>
      <c r="L22" s="90"/>
      <c r="M22" s="91"/>
    </row>
    <row r="23" spans="1:13">
      <c r="C23" s="7" t="s">
        <v>0</v>
      </c>
      <c r="D23" s="7" t="s">
        <v>4</v>
      </c>
      <c r="E23" s="7" t="s">
        <v>1</v>
      </c>
      <c r="F23" s="7" t="s">
        <v>2</v>
      </c>
      <c r="G23" s="7" t="s">
        <v>3</v>
      </c>
      <c r="J23" s="84" t="s">
        <v>55</v>
      </c>
      <c r="K23" s="94">
        <f>SUM(K17:K22)</f>
        <v>15613.986255172413</v>
      </c>
      <c r="L23" s="94">
        <f>SUM(L17:L22)</f>
        <v>15320.016974712642</v>
      </c>
      <c r="M23" s="95">
        <f>SUM(M17:M21)</f>
        <v>10435.198493846154</v>
      </c>
    </row>
    <row r="24" spans="1:13">
      <c r="C24" s="5">
        <v>1</v>
      </c>
      <c r="D24" s="6">
        <v>80</v>
      </c>
      <c r="E24" s="2">
        <v>45507.78</v>
      </c>
      <c r="F24" s="2">
        <f t="shared" ref="F24:F29" si="2">SUM(E24/26.1)</f>
        <v>1743.5931034482758</v>
      </c>
      <c r="G24" s="2">
        <f t="shared" ref="G24:G29" si="3">SUM(F24)/D24</f>
        <v>21.794913793103447</v>
      </c>
      <c r="J24" s="76"/>
      <c r="K24" s="90"/>
      <c r="L24" s="90"/>
      <c r="M24" s="91"/>
    </row>
    <row r="25" spans="1:13" ht="15.75">
      <c r="A25" s="68" t="s">
        <v>313</v>
      </c>
      <c r="B25" s="69"/>
      <c r="C25" s="70">
        <v>0.5</v>
      </c>
      <c r="D25" s="71">
        <v>40</v>
      </c>
      <c r="E25" s="72">
        <v>22753.85</v>
      </c>
      <c r="F25" s="72">
        <f t="shared" si="2"/>
        <v>871.79501915708806</v>
      </c>
      <c r="G25" s="72">
        <f t="shared" si="3"/>
        <v>21.794875478927203</v>
      </c>
      <c r="H25" s="69"/>
      <c r="J25" s="85" t="s">
        <v>57</v>
      </c>
      <c r="K25" s="96"/>
      <c r="L25" s="96">
        <f>SUM(K23:M23)</f>
        <v>41369.20172373121</v>
      </c>
      <c r="M25" s="97"/>
    </row>
    <row r="26" spans="1:13">
      <c r="A26" s="58"/>
      <c r="C26" s="5">
        <v>0.44</v>
      </c>
      <c r="D26" s="6">
        <v>35.200000000000003</v>
      </c>
      <c r="E26" s="2">
        <v>20023.419999999998</v>
      </c>
      <c r="F26" s="2">
        <f t="shared" si="2"/>
        <v>767.18084291187733</v>
      </c>
      <c r="G26" s="2">
        <f t="shared" si="3"/>
        <v>21.794910309996514</v>
      </c>
    </row>
    <row r="27" spans="1:13" ht="16.5" thickBot="1">
      <c r="A27" s="58"/>
      <c r="C27" s="5">
        <v>0.4</v>
      </c>
      <c r="D27" s="6">
        <v>32</v>
      </c>
      <c r="E27" s="2">
        <v>18203.11</v>
      </c>
      <c r="F27" s="2">
        <f t="shared" si="2"/>
        <v>697.43716475095789</v>
      </c>
      <c r="G27" s="2">
        <f t="shared" si="3"/>
        <v>21.794911398467434</v>
      </c>
      <c r="J27" s="114" t="s">
        <v>72</v>
      </c>
      <c r="K27" s="115"/>
      <c r="L27" s="115"/>
      <c r="M27" s="115"/>
    </row>
    <row r="28" spans="1:13">
      <c r="A28" s="59"/>
      <c r="C28" s="5">
        <v>0.33</v>
      </c>
      <c r="D28" s="6">
        <v>26.4</v>
      </c>
      <c r="E28" s="2">
        <v>15017.57</v>
      </c>
      <c r="F28" s="2">
        <f t="shared" si="2"/>
        <v>575.38582375478927</v>
      </c>
      <c r="G28" s="2">
        <f t="shared" si="3"/>
        <v>21.794917566469291</v>
      </c>
      <c r="M28" s="56"/>
    </row>
    <row r="29" spans="1:13">
      <c r="C29" s="5">
        <v>0.25</v>
      </c>
      <c r="D29" s="6">
        <v>20</v>
      </c>
      <c r="E29" s="2">
        <v>11376.95</v>
      </c>
      <c r="F29" s="2">
        <f t="shared" si="2"/>
        <v>435.89846743295021</v>
      </c>
      <c r="G29" s="2">
        <f t="shared" si="3"/>
        <v>21.79492337164751</v>
      </c>
      <c r="K29" s="116" t="s">
        <v>346</v>
      </c>
      <c r="L29" s="116" t="s">
        <v>347</v>
      </c>
      <c r="M29" s="116" t="s">
        <v>348</v>
      </c>
    </row>
    <row r="30" spans="1:13">
      <c r="J30" s="117" t="s">
        <v>299</v>
      </c>
      <c r="K30" s="56">
        <v>1138.94</v>
      </c>
      <c r="L30" s="56"/>
      <c r="M30" s="56"/>
    </row>
    <row r="31" spans="1:13">
      <c r="A31" s="171" t="s">
        <v>321</v>
      </c>
      <c r="B31" s="172"/>
      <c r="C31" s="172"/>
      <c r="D31" s="172"/>
      <c r="E31" s="172"/>
      <c r="F31" s="172"/>
      <c r="G31" s="172"/>
      <c r="H31" s="172"/>
      <c r="J31" s="117" t="s">
        <v>300</v>
      </c>
      <c r="K31" s="56">
        <v>116.47</v>
      </c>
      <c r="L31" s="56"/>
      <c r="M31" s="56"/>
    </row>
    <row r="32" spans="1:13">
      <c r="A32" s="54"/>
      <c r="J32" s="22" t="s">
        <v>301</v>
      </c>
      <c r="K32" s="35">
        <f>SUM(K30:K31)</f>
        <v>1255.4100000000001</v>
      </c>
      <c r="L32" s="35"/>
      <c r="M32" s="35"/>
    </row>
    <row r="34" spans="1:13">
      <c r="K34" s="116" t="s">
        <v>296</v>
      </c>
      <c r="L34" s="116" t="s">
        <v>297</v>
      </c>
      <c r="M34" s="116" t="s">
        <v>298</v>
      </c>
    </row>
    <row r="35" spans="1:13">
      <c r="J35" s="117" t="s">
        <v>299</v>
      </c>
      <c r="K35" s="56">
        <v>1138.94</v>
      </c>
      <c r="L35" s="56">
        <v>1138.94</v>
      </c>
      <c r="M35" s="56">
        <v>1138.94</v>
      </c>
    </row>
    <row r="36" spans="1:13">
      <c r="J36" s="117" t="s">
        <v>300</v>
      </c>
      <c r="K36" s="56">
        <v>116.47</v>
      </c>
      <c r="L36" s="56">
        <v>116.47</v>
      </c>
      <c r="M36" s="56">
        <v>116.47</v>
      </c>
    </row>
    <row r="37" spans="1:13">
      <c r="J37" s="22" t="s">
        <v>301</v>
      </c>
      <c r="K37" s="35">
        <f>SUM(K35:K36)</f>
        <v>1255.4100000000001</v>
      </c>
      <c r="L37" s="35">
        <f>SUM(L35:L36)</f>
        <v>1255.4100000000001</v>
      </c>
      <c r="M37" s="35">
        <f>SUM(M35:M36)</f>
        <v>1255.4100000000001</v>
      </c>
    </row>
    <row r="38" spans="1:13">
      <c r="K38" s="35"/>
      <c r="L38" s="35"/>
      <c r="M38" s="35"/>
    </row>
    <row r="39" spans="1:13">
      <c r="K39" s="116" t="s">
        <v>158</v>
      </c>
      <c r="L39" s="116" t="s">
        <v>175</v>
      </c>
      <c r="M39" s="116" t="s">
        <v>212</v>
      </c>
    </row>
    <row r="40" spans="1:13">
      <c r="J40" s="117" t="s">
        <v>299</v>
      </c>
      <c r="K40" s="56">
        <v>1138.94</v>
      </c>
      <c r="L40" s="56">
        <v>1138.94</v>
      </c>
      <c r="M40" s="56">
        <v>1138.94</v>
      </c>
    </row>
    <row r="41" spans="1:13">
      <c r="J41" s="117" t="s">
        <v>300</v>
      </c>
      <c r="K41" s="56">
        <v>116.47</v>
      </c>
      <c r="L41" s="56">
        <v>116.47</v>
      </c>
      <c r="M41" s="56">
        <v>116.47</v>
      </c>
    </row>
    <row r="42" spans="1:13">
      <c r="J42" s="22" t="s">
        <v>301</v>
      </c>
      <c r="K42" s="35">
        <f>SUM(K40:K41)</f>
        <v>1255.4100000000001</v>
      </c>
      <c r="L42" s="35">
        <f>SUM(L40:L41)</f>
        <v>1255.4100000000001</v>
      </c>
      <c r="M42" s="35">
        <f>SUM(M40:M41)</f>
        <v>1255.4100000000001</v>
      </c>
    </row>
    <row r="43" spans="1:13">
      <c r="K43" s="50"/>
    </row>
    <row r="44" spans="1:13">
      <c r="K44" s="116" t="s">
        <v>88</v>
      </c>
      <c r="L44" s="116" t="s">
        <v>115</v>
      </c>
      <c r="M44" s="116" t="s">
        <v>156</v>
      </c>
    </row>
    <row r="45" spans="1:13">
      <c r="A45" s="128" t="str">
        <f ca="1">CELL("filename")</f>
        <v>T:\WEC Finances\WEC FY25-26 Budget\[...GA Salary Tuition Costs.xlsx]2025-2026</v>
      </c>
      <c r="B45" s="3"/>
      <c r="J45" s="117" t="s">
        <v>299</v>
      </c>
      <c r="K45" s="89">
        <v>1138.94</v>
      </c>
      <c r="L45" s="89">
        <v>1138.94</v>
      </c>
      <c r="M45" s="56">
        <v>1138.94</v>
      </c>
    </row>
    <row r="46" spans="1:13">
      <c r="J46" s="117" t="s">
        <v>300</v>
      </c>
      <c r="K46" s="56">
        <v>112.53</v>
      </c>
      <c r="L46" s="56">
        <v>114.19</v>
      </c>
      <c r="M46" s="56">
        <v>114.19</v>
      </c>
    </row>
    <row r="47" spans="1:13">
      <c r="J47" s="22" t="s">
        <v>301</v>
      </c>
      <c r="K47" s="35">
        <f>SUM(K45:K46)</f>
        <v>1251.47</v>
      </c>
      <c r="L47" s="35">
        <f>SUM(L45:L46)</f>
        <v>1253.1300000000001</v>
      </c>
      <c r="M47" s="35">
        <f>SUM(M45:M46)</f>
        <v>1253.1300000000001</v>
      </c>
    </row>
    <row r="49" spans="1:11" ht="18">
      <c r="A49" s="17" t="s">
        <v>25</v>
      </c>
      <c r="B49" s="18"/>
      <c r="C49" s="18"/>
      <c r="D49" s="18"/>
      <c r="E49" s="18"/>
      <c r="F49" s="18"/>
      <c r="G49" s="18"/>
      <c r="H49" s="18"/>
      <c r="J49" s="98" t="s">
        <v>238</v>
      </c>
      <c r="K49" s="130" t="s">
        <v>213</v>
      </c>
    </row>
    <row r="50" spans="1:11">
      <c r="A50" s="23"/>
    </row>
    <row r="51" spans="1:11">
      <c r="B51" t="s">
        <v>12</v>
      </c>
    </row>
    <row r="52" spans="1:11">
      <c r="B52" t="s">
        <v>11</v>
      </c>
    </row>
    <row r="53" spans="1:11">
      <c r="B53" t="s">
        <v>8</v>
      </c>
    </row>
    <row r="54" spans="1:11">
      <c r="B54" t="s">
        <v>226</v>
      </c>
    </row>
    <row r="56" spans="1:11">
      <c r="B56" s="101" t="s">
        <v>239</v>
      </c>
      <c r="C56" s="101"/>
      <c r="D56" s="101"/>
      <c r="E56" s="101"/>
      <c r="F56" s="101"/>
      <c r="G56" s="101"/>
      <c r="H56" s="102"/>
    </row>
    <row r="57" spans="1:11">
      <c r="B57" s="101" t="s">
        <v>302</v>
      </c>
      <c r="C57" s="101"/>
      <c r="D57" s="101"/>
      <c r="E57" s="101"/>
      <c r="F57" s="101"/>
      <c r="G57" s="101"/>
      <c r="H57" s="102"/>
    </row>
    <row r="58" spans="1:11">
      <c r="B58" s="22"/>
      <c r="C58" s="22"/>
      <c r="D58" s="22"/>
      <c r="E58" s="3"/>
      <c r="F58" s="3"/>
      <c r="G58" s="3"/>
    </row>
    <row r="59" spans="1:11">
      <c r="B59" s="22" t="s">
        <v>335</v>
      </c>
      <c r="C59" s="22"/>
      <c r="D59" s="22"/>
      <c r="E59" s="3"/>
      <c r="F59" s="3"/>
      <c r="G59" s="3"/>
    </row>
    <row r="60" spans="1:11">
      <c r="B60" s="22" t="s">
        <v>333</v>
      </c>
      <c r="C60" s="22"/>
      <c r="D60" s="22"/>
      <c r="E60" s="3"/>
      <c r="F60" s="3"/>
      <c r="G60" s="3"/>
    </row>
    <row r="61" spans="1:11">
      <c r="B61" s="118" t="s">
        <v>334</v>
      </c>
      <c r="C61" s="118"/>
      <c r="D61" s="118"/>
      <c r="E61" s="119"/>
      <c r="F61" s="119"/>
      <c r="G61" s="119"/>
    </row>
    <row r="62" spans="1:11">
      <c r="B62" s="22" t="s">
        <v>303</v>
      </c>
      <c r="C62" s="120">
        <v>11848</v>
      </c>
      <c r="D62" s="22" t="s">
        <v>304</v>
      </c>
      <c r="E62" s="121">
        <v>11846.47</v>
      </c>
      <c r="F62" s="58" t="s">
        <v>332</v>
      </c>
      <c r="G62" s="58"/>
      <c r="H62" s="58"/>
    </row>
    <row r="63" spans="1:11">
      <c r="B63" s="22" t="s">
        <v>305</v>
      </c>
      <c r="C63" s="120">
        <v>13033</v>
      </c>
      <c r="D63" s="22" t="s">
        <v>304</v>
      </c>
      <c r="E63" s="121">
        <f>E62*1.1</f>
        <v>13031.117</v>
      </c>
      <c r="F63" s="58" t="s">
        <v>306</v>
      </c>
      <c r="G63" s="58"/>
      <c r="H63" s="58"/>
    </row>
    <row r="64" spans="1:11">
      <c r="B64" s="22" t="s">
        <v>307</v>
      </c>
      <c r="C64" s="120">
        <v>14336</v>
      </c>
      <c r="D64" s="22" t="s">
        <v>304</v>
      </c>
      <c r="E64" s="121">
        <f>E63*1.1</f>
        <v>14334.228700000001</v>
      </c>
      <c r="F64" s="58" t="s">
        <v>306</v>
      </c>
      <c r="G64" s="58"/>
      <c r="H64" s="58"/>
    </row>
    <row r="65" spans="2:8">
      <c r="B65" s="22" t="s">
        <v>308</v>
      </c>
      <c r="C65" s="120">
        <v>15769</v>
      </c>
      <c r="D65" s="22" t="s">
        <v>304</v>
      </c>
      <c r="E65" s="121">
        <f>E64*1.1</f>
        <v>15767.651570000004</v>
      </c>
      <c r="F65" s="58" t="s">
        <v>306</v>
      </c>
      <c r="G65" s="58"/>
      <c r="H65" s="58"/>
    </row>
    <row r="66" spans="2:8">
      <c r="B66" s="22" t="s">
        <v>309</v>
      </c>
      <c r="C66" s="120">
        <v>17346</v>
      </c>
      <c r="D66" s="22" t="s">
        <v>304</v>
      </c>
      <c r="E66" s="121">
        <f>E65*1.1</f>
        <v>17344.416727000007</v>
      </c>
      <c r="F66" s="58" t="s">
        <v>306</v>
      </c>
      <c r="G66" s="58"/>
      <c r="H66" s="58"/>
    </row>
    <row r="67" spans="2:8">
      <c r="B67" s="22" t="s">
        <v>310</v>
      </c>
      <c r="C67" s="120">
        <v>18213</v>
      </c>
      <c r="D67" s="22" t="s">
        <v>311</v>
      </c>
      <c r="E67" s="121">
        <f>E66*1.05</f>
        <v>18211.637563350007</v>
      </c>
      <c r="F67" s="122" t="s">
        <v>306</v>
      </c>
      <c r="G67" s="58"/>
      <c r="H67" s="58"/>
    </row>
    <row r="68" spans="2:8" ht="13.5" thickBot="1">
      <c r="D68" s="3"/>
      <c r="E68" s="3"/>
      <c r="F68" s="4"/>
    </row>
    <row r="69" spans="2:8" ht="34.5" thickBot="1">
      <c r="B69" s="109" t="s">
        <v>261</v>
      </c>
      <c r="C69" s="110" t="s">
        <v>262</v>
      </c>
      <c r="D69" s="110" t="s">
        <v>263</v>
      </c>
      <c r="E69" s="110" t="s">
        <v>264</v>
      </c>
      <c r="F69" s="110" t="s">
        <v>265</v>
      </c>
      <c r="G69" s="110" t="s">
        <v>266</v>
      </c>
    </row>
    <row r="70" spans="2:8" ht="13.5" thickBot="1">
      <c r="B70" s="111" t="s">
        <v>191</v>
      </c>
      <c r="C70" s="124" t="s">
        <v>267</v>
      </c>
      <c r="D70" s="124" t="s">
        <v>268</v>
      </c>
      <c r="E70" s="124" t="s">
        <v>268</v>
      </c>
      <c r="F70" s="124" t="s">
        <v>269</v>
      </c>
      <c r="G70" s="113">
        <v>0.1</v>
      </c>
    </row>
    <row r="71" spans="2:8" ht="13.5" thickBot="1">
      <c r="B71" s="111" t="s">
        <v>215</v>
      </c>
      <c r="C71" s="124" t="s">
        <v>270</v>
      </c>
      <c r="D71" s="124" t="s">
        <v>271</v>
      </c>
      <c r="E71" s="124" t="s">
        <v>271</v>
      </c>
      <c r="F71" s="124" t="s">
        <v>272</v>
      </c>
      <c r="G71" s="113">
        <v>0.1</v>
      </c>
    </row>
    <row r="72" spans="2:8" ht="13.5" thickBot="1">
      <c r="B72" s="111" t="s">
        <v>273</v>
      </c>
      <c r="C72" s="124">
        <v>13032.94</v>
      </c>
      <c r="D72" s="124">
        <v>4887.3609999999999</v>
      </c>
      <c r="E72" s="124">
        <v>4887.3599999999997</v>
      </c>
      <c r="F72" s="124">
        <v>3258.22</v>
      </c>
      <c r="G72" s="113">
        <v>0.1</v>
      </c>
    </row>
    <row r="73" spans="2:8" ht="13.5" thickBot="1">
      <c r="B73" s="111" t="s">
        <v>277</v>
      </c>
      <c r="C73" s="124">
        <v>14336.19</v>
      </c>
      <c r="D73" s="124">
        <v>5376.07</v>
      </c>
      <c r="E73" s="124">
        <v>5376.07</v>
      </c>
      <c r="F73" s="124">
        <v>3584.05</v>
      </c>
      <c r="G73" s="113">
        <v>0.1</v>
      </c>
    </row>
    <row r="74" spans="2:8" ht="13.5" thickBot="1">
      <c r="B74" s="111" t="s">
        <v>281</v>
      </c>
      <c r="C74" s="124" t="s">
        <v>282</v>
      </c>
      <c r="D74" s="124" t="s">
        <v>352</v>
      </c>
      <c r="E74" s="124" t="s">
        <v>352</v>
      </c>
      <c r="F74" s="124" t="s">
        <v>284</v>
      </c>
      <c r="G74" s="113">
        <v>0.1</v>
      </c>
    </row>
    <row r="75" spans="2:8" ht="13.5" thickBot="1">
      <c r="B75" s="111" t="s">
        <v>285</v>
      </c>
      <c r="C75" s="124" t="s">
        <v>286</v>
      </c>
      <c r="D75" s="124" t="s">
        <v>287</v>
      </c>
      <c r="E75" s="124" t="s">
        <v>287</v>
      </c>
      <c r="F75" s="124" t="s">
        <v>288</v>
      </c>
      <c r="G75" s="113">
        <v>0.1</v>
      </c>
    </row>
    <row r="76" spans="2:8" ht="13.5" thickBot="1">
      <c r="B76" s="111" t="s">
        <v>289</v>
      </c>
      <c r="C76" s="124" t="s">
        <v>290</v>
      </c>
      <c r="D76" s="124" t="s">
        <v>291</v>
      </c>
      <c r="E76" s="124" t="s">
        <v>291</v>
      </c>
      <c r="F76" s="124" t="s">
        <v>292</v>
      </c>
      <c r="G76" s="113">
        <v>0.05</v>
      </c>
    </row>
    <row r="78" spans="2:8" ht="15.75">
      <c r="B78" s="12" t="s">
        <v>349</v>
      </c>
      <c r="E78" s="2"/>
    </row>
    <row r="79" spans="2:8">
      <c r="B79" s="123"/>
      <c r="C79" s="3" t="s">
        <v>17</v>
      </c>
      <c r="E79" s="4">
        <f>SUM(E80+E81)</f>
        <v>530.69000000000005</v>
      </c>
    </row>
    <row r="80" spans="2:8">
      <c r="B80" s="123"/>
      <c r="C80" s="3" t="s">
        <v>350</v>
      </c>
      <c r="E80" s="2">
        <v>448.73</v>
      </c>
      <c r="F80" s="2" t="s">
        <v>24</v>
      </c>
    </row>
    <row r="81" spans="1:8">
      <c r="C81" s="3" t="s">
        <v>19</v>
      </c>
      <c r="E81" s="2">
        <v>81.96</v>
      </c>
      <c r="F81" s="55" t="s">
        <v>114</v>
      </c>
    </row>
    <row r="82" spans="1:8">
      <c r="C82" s="131" t="s">
        <v>354</v>
      </c>
      <c r="D82" s="3"/>
      <c r="E82" s="2"/>
      <c r="F82" s="2"/>
    </row>
    <row r="83" spans="1:8">
      <c r="D83" s="3"/>
      <c r="F83" s="2"/>
    </row>
    <row r="84" spans="1:8" ht="15">
      <c r="B84" s="12" t="s">
        <v>22</v>
      </c>
      <c r="D84" s="123"/>
      <c r="G84" s="2"/>
    </row>
    <row r="85" spans="1:8">
      <c r="C85" s="22" t="s">
        <v>353</v>
      </c>
      <c r="F85" s="2">
        <v>5913</v>
      </c>
    </row>
    <row r="86" spans="1:8">
      <c r="C86" s="22" t="s">
        <v>330</v>
      </c>
      <c r="F86" s="2">
        <v>5913</v>
      </c>
    </row>
    <row r="87" spans="1:8">
      <c r="C87" s="22" t="s">
        <v>331</v>
      </c>
      <c r="F87" s="14">
        <v>3943</v>
      </c>
    </row>
    <row r="88" spans="1:8" ht="15">
      <c r="C88" s="29" t="s">
        <v>37</v>
      </c>
      <c r="D88" s="29"/>
      <c r="E88" s="24"/>
      <c r="F88" s="30">
        <f>SUM(F85:F87)</f>
        <v>15769</v>
      </c>
    </row>
    <row r="89" spans="1:8">
      <c r="F89" s="2"/>
    </row>
    <row r="90" spans="1:8" ht="15">
      <c r="B90" s="12" t="s">
        <v>23</v>
      </c>
    </row>
    <row r="91" spans="1:8">
      <c r="C91" s="22" t="s">
        <v>343</v>
      </c>
      <c r="F91" s="2">
        <f>E81*9</f>
        <v>737.64</v>
      </c>
    </row>
    <row r="92" spans="1:8">
      <c r="C92" s="22" t="s">
        <v>344</v>
      </c>
      <c r="F92" s="2">
        <f>E81*9</f>
        <v>737.64</v>
      </c>
    </row>
    <row r="93" spans="1:8">
      <c r="C93" s="22" t="s">
        <v>345</v>
      </c>
      <c r="F93" s="14">
        <f>E81*6</f>
        <v>491.76</v>
      </c>
    </row>
    <row r="94" spans="1:8" ht="15">
      <c r="C94" s="29" t="s">
        <v>38</v>
      </c>
      <c r="D94" s="29"/>
      <c r="E94" s="24"/>
      <c r="F94" s="30">
        <f>SUM(F91:F93)</f>
        <v>1967.04</v>
      </c>
    </row>
    <row r="95" spans="1:8" ht="15">
      <c r="C95" s="12"/>
      <c r="F95" s="13"/>
    </row>
    <row r="96" spans="1:8" ht="15.75">
      <c r="A96" s="9" t="s">
        <v>336</v>
      </c>
      <c r="B96" s="8"/>
      <c r="C96" s="8"/>
      <c r="D96" s="8"/>
      <c r="E96" s="8"/>
      <c r="F96" s="8"/>
      <c r="G96" s="8"/>
      <c r="H96" s="8"/>
    </row>
    <row r="97" spans="1:2">
      <c r="A97" s="23"/>
      <c r="B97" s="22" t="s">
        <v>337</v>
      </c>
    </row>
    <row r="98" spans="1:2">
      <c r="B98" s="22" t="s">
        <v>338</v>
      </c>
    </row>
  </sheetData>
  <mergeCells count="4">
    <mergeCell ref="A1:H1"/>
    <mergeCell ref="A2:H2"/>
    <mergeCell ref="A3:H3"/>
    <mergeCell ref="A31:H31"/>
  </mergeCells>
  <hyperlinks>
    <hyperlink ref="K49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8"/>
  <sheetViews>
    <sheetView zoomScaleNormal="100" workbookViewId="0">
      <selection activeCell="K30" sqref="K30"/>
    </sheetView>
  </sheetViews>
  <sheetFormatPr defaultRowHeight="12.75"/>
  <cols>
    <col min="3" max="6" width="13.28515625" customWidth="1"/>
    <col min="7" max="7" width="9.42578125" customWidth="1"/>
    <col min="8" max="8" width="10.7109375" customWidth="1"/>
    <col min="10" max="10" width="38.85546875" customWidth="1"/>
    <col min="11" max="12" width="14" customWidth="1"/>
    <col min="13" max="13" width="15.28515625" bestFit="1" customWidth="1"/>
  </cols>
  <sheetData>
    <row r="1" spans="1:13" ht="20.25">
      <c r="A1" s="169" t="s">
        <v>15</v>
      </c>
      <c r="B1" s="169"/>
      <c r="C1" s="169"/>
      <c r="D1" s="169"/>
      <c r="E1" s="169"/>
      <c r="F1" s="169"/>
      <c r="G1" s="169"/>
      <c r="H1" s="169"/>
      <c r="J1" s="73" t="s">
        <v>328</v>
      </c>
      <c r="K1" s="74"/>
      <c r="L1" s="74"/>
      <c r="M1" s="75"/>
    </row>
    <row r="2" spans="1:13" ht="18">
      <c r="A2" s="170" t="s">
        <v>13</v>
      </c>
      <c r="B2" s="170"/>
      <c r="C2" s="170"/>
      <c r="D2" s="170"/>
      <c r="E2" s="170"/>
      <c r="F2" s="170"/>
      <c r="G2" s="170"/>
      <c r="H2" s="170"/>
      <c r="J2" s="76"/>
      <c r="M2" s="77"/>
    </row>
    <row r="3" spans="1:13" ht="18">
      <c r="A3" s="170" t="s">
        <v>14</v>
      </c>
      <c r="B3" s="170"/>
      <c r="C3" s="170"/>
      <c r="D3" s="170"/>
      <c r="E3" s="170"/>
      <c r="F3" s="170"/>
      <c r="G3" s="170"/>
      <c r="H3" s="170"/>
      <c r="J3" s="78" t="s">
        <v>314</v>
      </c>
      <c r="K3" s="35" t="s">
        <v>281</v>
      </c>
      <c r="L3" s="35" t="s">
        <v>322</v>
      </c>
      <c r="M3" s="79" t="s">
        <v>323</v>
      </c>
    </row>
    <row r="4" spans="1:13" ht="23.25">
      <c r="A4" s="21" t="s">
        <v>319</v>
      </c>
      <c r="J4" s="80" t="s">
        <v>315</v>
      </c>
      <c r="K4" s="81" t="s">
        <v>324</v>
      </c>
      <c r="L4" s="81" t="s">
        <v>325</v>
      </c>
      <c r="M4" s="82" t="s">
        <v>326</v>
      </c>
    </row>
    <row r="5" spans="1:13">
      <c r="A5" s="3" t="s">
        <v>320</v>
      </c>
      <c r="J5" s="83" t="s">
        <v>316</v>
      </c>
      <c r="K5" s="90">
        <f>SUM(E15/26.1*9.9)</f>
        <v>9482.758620689654</v>
      </c>
      <c r="L5" s="90">
        <f>SUM(E15/26.1*9.6)</f>
        <v>9195.4022988505731</v>
      </c>
      <c r="M5" s="91">
        <f>SUM(E15/26/1*6.6)</f>
        <v>6346.1538461538457</v>
      </c>
    </row>
    <row r="6" spans="1:13">
      <c r="J6" s="83" t="s">
        <v>327</v>
      </c>
      <c r="K6" s="90">
        <f>K5*0.124</f>
        <v>1175.862068965517</v>
      </c>
      <c r="L6" s="90">
        <f>L5*0.124</f>
        <v>1140.2298850574712</v>
      </c>
      <c r="M6" s="91">
        <f>M5*0.124</f>
        <v>786.92307692307691</v>
      </c>
    </row>
    <row r="7" spans="1:13" ht="15.75">
      <c r="A7" s="9" t="s">
        <v>26</v>
      </c>
      <c r="B7" s="8"/>
      <c r="C7" s="8"/>
      <c r="D7" s="8"/>
      <c r="E7" s="8"/>
      <c r="F7" s="8"/>
      <c r="G7" s="8"/>
      <c r="H7" s="8"/>
      <c r="J7" s="76"/>
      <c r="K7" s="90"/>
      <c r="L7" s="90"/>
      <c r="M7" s="91"/>
    </row>
    <row r="8" spans="1:13" ht="15.75">
      <c r="A8" s="15"/>
      <c r="J8" s="83" t="s">
        <v>53</v>
      </c>
      <c r="K8" s="90"/>
      <c r="L8" s="90"/>
      <c r="M8" s="91"/>
    </row>
    <row r="9" spans="1:13" ht="15">
      <c r="B9" t="s">
        <v>71</v>
      </c>
      <c r="J9" s="83" t="s">
        <v>340</v>
      </c>
      <c r="K9" s="92">
        <f>F85</f>
        <v>4038.57</v>
      </c>
      <c r="L9" s="126">
        <f>F86</f>
        <v>4038.57</v>
      </c>
      <c r="M9" s="125">
        <f>F87</f>
        <v>2692.38</v>
      </c>
    </row>
    <row r="10" spans="1:13">
      <c r="B10" s="22" t="s">
        <v>295</v>
      </c>
      <c r="J10" s="129" t="s">
        <v>339</v>
      </c>
      <c r="K10" s="90"/>
      <c r="L10" s="90"/>
      <c r="M10" s="91"/>
    </row>
    <row r="11" spans="1:13">
      <c r="J11" s="84" t="s">
        <v>55</v>
      </c>
      <c r="K11" s="94">
        <f>SUM(K5:K10)</f>
        <v>14697.19068965517</v>
      </c>
      <c r="L11" s="94">
        <f>SUM(L5:L10)</f>
        <v>14374.202183908044</v>
      </c>
      <c r="M11" s="95">
        <f>SUM(M5:M9)</f>
        <v>9825.456923076923</v>
      </c>
    </row>
    <row r="12" spans="1:13" ht="19.5">
      <c r="A12" s="127" t="s">
        <v>251</v>
      </c>
      <c r="B12" s="105"/>
      <c r="C12" s="105"/>
      <c r="D12" s="105"/>
      <c r="E12" s="105"/>
      <c r="F12" s="105"/>
      <c r="G12" s="105"/>
      <c r="H12" s="105"/>
      <c r="J12" s="76"/>
      <c r="K12" s="90"/>
      <c r="L12" s="90"/>
      <c r="M12" s="91"/>
    </row>
    <row r="13" spans="1:13" ht="15.75">
      <c r="C13" s="7" t="s">
        <v>0</v>
      </c>
      <c r="D13" s="7" t="s">
        <v>4</v>
      </c>
      <c r="E13" s="7" t="s">
        <v>1</v>
      </c>
      <c r="F13" s="7" t="s">
        <v>2</v>
      </c>
      <c r="G13" s="7" t="s">
        <v>3</v>
      </c>
      <c r="J13" s="85" t="s">
        <v>57</v>
      </c>
      <c r="K13" s="96"/>
      <c r="L13" s="96">
        <f>SUM(K11:M11)</f>
        <v>38896.849796640134</v>
      </c>
      <c r="M13" s="97"/>
    </row>
    <row r="14" spans="1:13">
      <c r="C14" s="5">
        <v>1</v>
      </c>
      <c r="D14" s="6">
        <v>80</v>
      </c>
      <c r="E14" s="2">
        <v>50000</v>
      </c>
      <c r="F14" s="2">
        <f t="shared" ref="F14:F19" si="0">SUM(E14/26.1)</f>
        <v>1915.7088122605362</v>
      </c>
      <c r="G14" s="2">
        <f t="shared" ref="G14:G19" si="1">SUM(F14)/D14</f>
        <v>23.946360153256702</v>
      </c>
      <c r="K14" s="89"/>
      <c r="L14" s="89"/>
      <c r="M14" s="89"/>
    </row>
    <row r="15" spans="1:13" ht="15.75">
      <c r="A15" s="68" t="s">
        <v>312</v>
      </c>
      <c r="B15" s="69"/>
      <c r="C15" s="70">
        <v>0.5</v>
      </c>
      <c r="D15" s="71">
        <v>40</v>
      </c>
      <c r="E15" s="72">
        <v>25000</v>
      </c>
      <c r="F15" s="72">
        <f t="shared" si="0"/>
        <v>957.8544061302681</v>
      </c>
      <c r="G15" s="72">
        <f t="shared" si="1"/>
        <v>23.946360153256702</v>
      </c>
      <c r="H15" s="69"/>
      <c r="J15" s="86" t="s">
        <v>317</v>
      </c>
      <c r="K15" s="35" t="s">
        <v>281</v>
      </c>
      <c r="L15" s="35" t="s">
        <v>322</v>
      </c>
      <c r="M15" s="79" t="s">
        <v>323</v>
      </c>
    </row>
    <row r="16" spans="1:13" ht="22.5">
      <c r="A16" s="58"/>
      <c r="C16" s="5">
        <v>0.44</v>
      </c>
      <c r="D16" s="6">
        <v>35.200000000000003</v>
      </c>
      <c r="E16" s="2">
        <v>22000</v>
      </c>
      <c r="F16" s="2">
        <f t="shared" si="0"/>
        <v>842.91187739463601</v>
      </c>
      <c r="G16" s="2">
        <f t="shared" si="1"/>
        <v>23.946360153256702</v>
      </c>
      <c r="J16" s="80" t="s">
        <v>341</v>
      </c>
      <c r="K16" s="81" t="s">
        <v>324</v>
      </c>
      <c r="L16" s="81" t="s">
        <v>325</v>
      </c>
      <c r="M16" s="82" t="s">
        <v>326</v>
      </c>
    </row>
    <row r="17" spans="1:13">
      <c r="A17" s="58"/>
      <c r="C17" s="5">
        <v>0.4</v>
      </c>
      <c r="D17" s="6">
        <v>32</v>
      </c>
      <c r="E17" s="2">
        <v>20000</v>
      </c>
      <c r="F17" s="2">
        <f t="shared" si="0"/>
        <v>766.28352490421457</v>
      </c>
      <c r="G17" s="2">
        <f t="shared" si="1"/>
        <v>23.946360153256705</v>
      </c>
      <c r="J17" s="83" t="s">
        <v>318</v>
      </c>
      <c r="K17" s="90">
        <f>SUM(E25/26.1*9.9)</f>
        <v>8619.8275862068967</v>
      </c>
      <c r="L17" s="90">
        <f>SUM(E25/26.1*9.6)</f>
        <v>8358.6206896551721</v>
      </c>
      <c r="M17" s="91">
        <f>SUM(E25/26/1*6.6)</f>
        <v>5768.6538461538457</v>
      </c>
    </row>
    <row r="18" spans="1:13">
      <c r="A18" s="59"/>
      <c r="C18" s="5">
        <v>0.33</v>
      </c>
      <c r="D18" s="6">
        <v>26.4</v>
      </c>
      <c r="E18" s="2">
        <v>16500</v>
      </c>
      <c r="F18" s="2">
        <f t="shared" si="0"/>
        <v>632.18390804597698</v>
      </c>
      <c r="G18" s="2">
        <f t="shared" si="1"/>
        <v>23.946360153256705</v>
      </c>
      <c r="J18" s="83" t="s">
        <v>327</v>
      </c>
      <c r="K18" s="90">
        <f>K17*0.124</f>
        <v>1068.8586206896553</v>
      </c>
      <c r="L18" s="90">
        <f>L17*0.124</f>
        <v>1036.4689655172413</v>
      </c>
      <c r="M18" s="91">
        <f>M17*0.124</f>
        <v>715.31307692307689</v>
      </c>
    </row>
    <row r="19" spans="1:13">
      <c r="C19" s="5">
        <v>0.25</v>
      </c>
      <c r="D19" s="6">
        <v>20</v>
      </c>
      <c r="E19" s="2">
        <v>12500</v>
      </c>
      <c r="F19" s="2">
        <f t="shared" si="0"/>
        <v>478.92720306513405</v>
      </c>
      <c r="G19" s="2">
        <f t="shared" si="1"/>
        <v>23.946360153256702</v>
      </c>
      <c r="J19" s="76"/>
      <c r="K19" s="90"/>
      <c r="L19" s="90"/>
      <c r="M19" s="91"/>
    </row>
    <row r="20" spans="1:13">
      <c r="C20" s="5"/>
      <c r="D20" s="6"/>
      <c r="E20" s="2"/>
      <c r="F20" s="2"/>
      <c r="G20" s="2"/>
      <c r="J20" s="83" t="s">
        <v>53</v>
      </c>
      <c r="K20" s="90"/>
      <c r="L20" s="90"/>
      <c r="M20" s="91"/>
    </row>
    <row r="21" spans="1:13" ht="15">
      <c r="J21" s="83" t="s">
        <v>340</v>
      </c>
      <c r="K21" s="92">
        <f>F85</f>
        <v>4038.57</v>
      </c>
      <c r="L21" s="92">
        <f>F86</f>
        <v>4038.57</v>
      </c>
      <c r="M21" s="93">
        <f>F87</f>
        <v>2692.38</v>
      </c>
    </row>
    <row r="22" spans="1:13" ht="19.5">
      <c r="A22" s="127" t="s">
        <v>252</v>
      </c>
      <c r="B22" s="105"/>
      <c r="C22" s="105"/>
      <c r="D22" s="105"/>
      <c r="E22" s="105"/>
      <c r="F22" s="105"/>
      <c r="G22" s="105"/>
      <c r="H22" s="105"/>
      <c r="J22" s="129" t="s">
        <v>339</v>
      </c>
      <c r="K22" s="90"/>
      <c r="L22" s="90"/>
      <c r="M22" s="91"/>
    </row>
    <row r="23" spans="1:13">
      <c r="C23" s="7" t="s">
        <v>0</v>
      </c>
      <c r="D23" s="7" t="s">
        <v>4</v>
      </c>
      <c r="E23" s="7" t="s">
        <v>1</v>
      </c>
      <c r="F23" s="7" t="s">
        <v>2</v>
      </c>
      <c r="G23" s="7" t="s">
        <v>3</v>
      </c>
      <c r="J23" s="84" t="s">
        <v>55</v>
      </c>
      <c r="K23" s="94">
        <f>SUM(K17:K22)</f>
        <v>13727.256206896553</v>
      </c>
      <c r="L23" s="94">
        <f>SUM(L17:L22)</f>
        <v>13433.659655172412</v>
      </c>
      <c r="M23" s="95">
        <f>SUM(M17:M21)</f>
        <v>9176.3469230769224</v>
      </c>
    </row>
    <row r="24" spans="1:13">
      <c r="C24" s="5">
        <v>1</v>
      </c>
      <c r="D24" s="6">
        <v>80</v>
      </c>
      <c r="E24" s="2">
        <v>45450</v>
      </c>
      <c r="F24" s="2">
        <f t="shared" ref="F24:F29" si="2">SUM(E24/26.1)</f>
        <v>1741.3793103448274</v>
      </c>
      <c r="G24" s="2">
        <f t="shared" ref="G24:G29" si="3">SUM(F24)/D24</f>
        <v>21.767241379310342</v>
      </c>
      <c r="J24" s="76"/>
      <c r="K24" s="90"/>
      <c r="L24" s="90"/>
      <c r="M24" s="91"/>
    </row>
    <row r="25" spans="1:13" ht="15.75">
      <c r="A25" s="68" t="s">
        <v>313</v>
      </c>
      <c r="B25" s="69"/>
      <c r="C25" s="70">
        <v>0.5</v>
      </c>
      <c r="D25" s="71">
        <v>40</v>
      </c>
      <c r="E25" s="72">
        <v>22725</v>
      </c>
      <c r="F25" s="72">
        <f t="shared" si="2"/>
        <v>870.68965517241372</v>
      </c>
      <c r="G25" s="72">
        <f t="shared" si="3"/>
        <v>21.767241379310342</v>
      </c>
      <c r="H25" s="69"/>
      <c r="J25" s="85" t="s">
        <v>57</v>
      </c>
      <c r="K25" s="96"/>
      <c r="L25" s="96">
        <f>SUM(K23:M23)</f>
        <v>36337.262785145882</v>
      </c>
      <c r="M25" s="97"/>
    </row>
    <row r="26" spans="1:13">
      <c r="A26" s="58"/>
      <c r="C26" s="5">
        <v>0.44</v>
      </c>
      <c r="D26" s="6">
        <v>35.200000000000003</v>
      </c>
      <c r="E26" s="2">
        <v>20000</v>
      </c>
      <c r="F26" s="2">
        <f t="shared" si="2"/>
        <v>766.28352490421457</v>
      </c>
      <c r="G26" s="2">
        <f t="shared" si="3"/>
        <v>21.769418321142457</v>
      </c>
    </row>
    <row r="27" spans="1:13" ht="16.5" thickBot="1">
      <c r="A27" s="58"/>
      <c r="C27" s="5">
        <v>0.4</v>
      </c>
      <c r="D27" s="6">
        <v>32</v>
      </c>
      <c r="E27" s="2">
        <v>18185</v>
      </c>
      <c r="F27" s="2">
        <f t="shared" si="2"/>
        <v>696.74329501915702</v>
      </c>
      <c r="G27" s="2">
        <f t="shared" si="3"/>
        <v>21.773227969348657</v>
      </c>
      <c r="J27" s="114" t="s">
        <v>72</v>
      </c>
      <c r="K27" s="115"/>
      <c r="L27" s="115"/>
      <c r="M27" s="115"/>
    </row>
    <row r="28" spans="1:13">
      <c r="A28" s="59"/>
      <c r="C28" s="5">
        <v>0.33</v>
      </c>
      <c r="D28" s="6">
        <v>26.4</v>
      </c>
      <c r="E28" s="2">
        <v>15000</v>
      </c>
      <c r="F28" s="2">
        <f t="shared" si="2"/>
        <v>574.71264367816093</v>
      </c>
      <c r="G28" s="2">
        <f t="shared" si="3"/>
        <v>21.76941832114246</v>
      </c>
      <c r="M28" s="56"/>
    </row>
    <row r="29" spans="1:13">
      <c r="C29" s="5">
        <v>0.25</v>
      </c>
      <c r="D29" s="6">
        <v>20</v>
      </c>
      <c r="E29" s="2">
        <v>11365</v>
      </c>
      <c r="F29" s="2">
        <f t="shared" si="2"/>
        <v>435.4406130268199</v>
      </c>
      <c r="G29" s="2">
        <f t="shared" si="3"/>
        <v>21.772030651340994</v>
      </c>
      <c r="K29" s="116" t="s">
        <v>346</v>
      </c>
      <c r="L29" s="116" t="s">
        <v>347</v>
      </c>
      <c r="M29" s="116" t="s">
        <v>348</v>
      </c>
    </row>
    <row r="30" spans="1:13">
      <c r="J30" s="117" t="s">
        <v>299</v>
      </c>
      <c r="K30" s="56"/>
      <c r="L30" s="56"/>
      <c r="M30" s="56"/>
    </row>
    <row r="31" spans="1:13">
      <c r="A31" s="171" t="s">
        <v>321</v>
      </c>
      <c r="B31" s="172"/>
      <c r="C31" s="172"/>
      <c r="D31" s="172"/>
      <c r="E31" s="172"/>
      <c r="F31" s="172"/>
      <c r="G31" s="172"/>
      <c r="H31" s="172"/>
      <c r="J31" s="117" t="s">
        <v>300</v>
      </c>
      <c r="K31" s="56"/>
      <c r="L31" s="56"/>
      <c r="M31" s="56"/>
    </row>
    <row r="32" spans="1:13">
      <c r="A32" s="54"/>
      <c r="J32" s="22" t="s">
        <v>301</v>
      </c>
      <c r="K32" s="35"/>
      <c r="L32" s="35"/>
      <c r="M32" s="35"/>
    </row>
    <row r="34" spans="1:13">
      <c r="K34" s="116" t="s">
        <v>296</v>
      </c>
      <c r="L34" s="116" t="s">
        <v>297</v>
      </c>
      <c r="M34" s="116" t="s">
        <v>298</v>
      </c>
    </row>
    <row r="35" spans="1:13">
      <c r="J35" s="117" t="s">
        <v>299</v>
      </c>
      <c r="K35" s="56">
        <v>1138.94</v>
      </c>
      <c r="L35" s="56">
        <v>1138.94</v>
      </c>
      <c r="M35" s="56">
        <v>1138.94</v>
      </c>
    </row>
    <row r="36" spans="1:13">
      <c r="J36" s="117" t="s">
        <v>300</v>
      </c>
      <c r="K36" s="56">
        <v>116.47</v>
      </c>
      <c r="L36" s="56">
        <v>116.47</v>
      </c>
      <c r="M36" s="56">
        <v>116.47</v>
      </c>
    </row>
    <row r="37" spans="1:13">
      <c r="J37" s="22" t="s">
        <v>301</v>
      </c>
      <c r="K37" s="35">
        <f>SUM(K35:K36)</f>
        <v>1255.4100000000001</v>
      </c>
      <c r="L37" s="35">
        <f>SUM(L35:L36)</f>
        <v>1255.4100000000001</v>
      </c>
      <c r="M37" s="35">
        <f>SUM(M35:M36)</f>
        <v>1255.4100000000001</v>
      </c>
    </row>
    <row r="38" spans="1:13">
      <c r="K38" s="35"/>
      <c r="L38" s="35"/>
      <c r="M38" s="35"/>
    </row>
    <row r="39" spans="1:13">
      <c r="K39" s="116" t="s">
        <v>158</v>
      </c>
      <c r="L39" s="116" t="s">
        <v>175</v>
      </c>
      <c r="M39" s="116" t="s">
        <v>212</v>
      </c>
    </row>
    <row r="40" spans="1:13">
      <c r="J40" s="117" t="s">
        <v>299</v>
      </c>
      <c r="K40" s="56">
        <v>1138.94</v>
      </c>
      <c r="L40" s="56">
        <v>1138.94</v>
      </c>
      <c r="M40" s="56">
        <v>1138.94</v>
      </c>
    </row>
    <row r="41" spans="1:13">
      <c r="J41" s="117" t="s">
        <v>300</v>
      </c>
      <c r="K41" s="56">
        <v>116.47</v>
      </c>
      <c r="L41" s="56">
        <v>116.47</v>
      </c>
      <c r="M41" s="56">
        <v>116.47</v>
      </c>
    </row>
    <row r="42" spans="1:13">
      <c r="J42" s="22" t="s">
        <v>301</v>
      </c>
      <c r="K42" s="35">
        <f>SUM(K40:K41)</f>
        <v>1255.4100000000001</v>
      </c>
      <c r="L42" s="35">
        <f>SUM(L40:L41)</f>
        <v>1255.4100000000001</v>
      </c>
      <c r="M42" s="35">
        <f>SUM(M40:M41)</f>
        <v>1255.4100000000001</v>
      </c>
    </row>
    <row r="43" spans="1:13">
      <c r="K43" s="50"/>
    </row>
    <row r="44" spans="1:13">
      <c r="K44" s="116" t="s">
        <v>88</v>
      </c>
      <c r="L44" s="116" t="s">
        <v>115</v>
      </c>
      <c r="M44" s="116" t="s">
        <v>156</v>
      </c>
    </row>
    <row r="45" spans="1:13">
      <c r="A45" s="128" t="str">
        <f ca="1">CELL("filename")</f>
        <v>T:\WEC Finances\WEC FY25-26 Budget\[...GA Salary Tuition Costs.xlsx]2025-2026</v>
      </c>
      <c r="B45" s="3"/>
      <c r="J45" s="117" t="s">
        <v>299</v>
      </c>
      <c r="K45" s="89">
        <v>1138.94</v>
      </c>
      <c r="L45" s="89">
        <v>1138.94</v>
      </c>
      <c r="M45" s="56">
        <v>1138.94</v>
      </c>
    </row>
    <row r="46" spans="1:13">
      <c r="J46" s="117" t="s">
        <v>300</v>
      </c>
      <c r="K46" s="56">
        <v>112.53</v>
      </c>
      <c r="L46" s="56">
        <v>114.19</v>
      </c>
      <c r="M46" s="56">
        <v>114.19</v>
      </c>
    </row>
    <row r="47" spans="1:13">
      <c r="J47" s="22" t="s">
        <v>301</v>
      </c>
      <c r="K47" s="35">
        <f>SUM(K45:K46)</f>
        <v>1251.47</v>
      </c>
      <c r="L47" s="35">
        <f>SUM(L45:L46)</f>
        <v>1253.1300000000001</v>
      </c>
      <c r="M47" s="35">
        <f>SUM(M45:M46)</f>
        <v>1253.1300000000001</v>
      </c>
    </row>
    <row r="49" spans="1:11" ht="18">
      <c r="A49" s="17" t="s">
        <v>25</v>
      </c>
      <c r="B49" s="18"/>
      <c r="C49" s="18"/>
      <c r="D49" s="18"/>
      <c r="E49" s="18"/>
      <c r="F49" s="18"/>
      <c r="G49" s="18"/>
      <c r="H49" s="18"/>
      <c r="J49" s="98" t="s">
        <v>238</v>
      </c>
      <c r="K49" s="130" t="s">
        <v>213</v>
      </c>
    </row>
    <row r="50" spans="1:11">
      <c r="A50" s="23"/>
    </row>
    <row r="51" spans="1:11">
      <c r="B51" t="s">
        <v>12</v>
      </c>
    </row>
    <row r="52" spans="1:11">
      <c r="B52" t="s">
        <v>11</v>
      </c>
    </row>
    <row r="53" spans="1:11">
      <c r="B53" t="s">
        <v>8</v>
      </c>
    </row>
    <row r="54" spans="1:11">
      <c r="B54" t="s">
        <v>226</v>
      </c>
    </row>
    <row r="56" spans="1:11">
      <c r="B56" s="101" t="s">
        <v>239</v>
      </c>
      <c r="C56" s="101"/>
      <c r="D56" s="101"/>
      <c r="E56" s="101"/>
      <c r="F56" s="101"/>
      <c r="G56" s="101"/>
      <c r="H56" s="102"/>
    </row>
    <row r="57" spans="1:11">
      <c r="B57" s="101" t="s">
        <v>302</v>
      </c>
      <c r="C57" s="101"/>
      <c r="D57" s="101"/>
      <c r="E57" s="101"/>
      <c r="F57" s="101"/>
      <c r="G57" s="101"/>
      <c r="H57" s="102"/>
    </row>
    <row r="58" spans="1:11">
      <c r="B58" s="22"/>
      <c r="C58" s="22"/>
      <c r="D58" s="22"/>
      <c r="E58" s="3"/>
      <c r="F58" s="3"/>
      <c r="G58" s="3"/>
    </row>
    <row r="59" spans="1:11">
      <c r="B59" s="22" t="s">
        <v>335</v>
      </c>
      <c r="C59" s="22"/>
      <c r="D59" s="22"/>
      <c r="E59" s="3"/>
      <c r="F59" s="3"/>
      <c r="G59" s="3"/>
    </row>
    <row r="60" spans="1:11">
      <c r="B60" s="22" t="s">
        <v>333</v>
      </c>
      <c r="C60" s="22"/>
      <c r="D60" s="22"/>
      <c r="E60" s="3"/>
      <c r="F60" s="3"/>
      <c r="G60" s="3"/>
    </row>
    <row r="61" spans="1:11">
      <c r="B61" s="118" t="s">
        <v>334</v>
      </c>
      <c r="C61" s="118"/>
      <c r="D61" s="118"/>
      <c r="E61" s="119"/>
      <c r="F61" s="119"/>
      <c r="G61" s="119"/>
    </row>
    <row r="62" spans="1:11">
      <c r="B62" s="22" t="s">
        <v>303</v>
      </c>
      <c r="C62" s="120">
        <v>11848</v>
      </c>
      <c r="D62" s="22" t="s">
        <v>304</v>
      </c>
      <c r="E62" s="121">
        <v>11846.47</v>
      </c>
      <c r="F62" s="58" t="s">
        <v>332</v>
      </c>
      <c r="G62" s="58"/>
      <c r="H62" s="58"/>
    </row>
    <row r="63" spans="1:11">
      <c r="B63" s="22" t="s">
        <v>305</v>
      </c>
      <c r="C63" s="120">
        <v>13033</v>
      </c>
      <c r="D63" s="22" t="s">
        <v>304</v>
      </c>
      <c r="E63" s="121">
        <f>E62*1.1</f>
        <v>13031.117</v>
      </c>
      <c r="F63" s="58" t="s">
        <v>306</v>
      </c>
      <c r="G63" s="58"/>
      <c r="H63" s="58"/>
    </row>
    <row r="64" spans="1:11">
      <c r="B64" s="22" t="s">
        <v>307</v>
      </c>
      <c r="C64" s="120">
        <v>14336</v>
      </c>
      <c r="D64" s="22" t="s">
        <v>304</v>
      </c>
      <c r="E64" s="121">
        <f>E63*1.1</f>
        <v>14334.228700000001</v>
      </c>
      <c r="F64" s="58" t="s">
        <v>306</v>
      </c>
      <c r="G64" s="58"/>
      <c r="H64" s="58"/>
    </row>
    <row r="65" spans="2:8">
      <c r="B65" s="22" t="s">
        <v>308</v>
      </c>
      <c r="C65" s="120">
        <v>15769</v>
      </c>
      <c r="D65" s="22" t="s">
        <v>304</v>
      </c>
      <c r="E65" s="121">
        <f>E64*1.1</f>
        <v>15767.651570000004</v>
      </c>
      <c r="F65" s="58" t="s">
        <v>306</v>
      </c>
      <c r="G65" s="58"/>
      <c r="H65" s="58"/>
    </row>
    <row r="66" spans="2:8">
      <c r="B66" s="22" t="s">
        <v>309</v>
      </c>
      <c r="C66" s="120">
        <v>17346</v>
      </c>
      <c r="D66" s="22" t="s">
        <v>304</v>
      </c>
      <c r="E66" s="121">
        <f>E65*1.1</f>
        <v>17344.416727000007</v>
      </c>
      <c r="F66" s="58" t="s">
        <v>306</v>
      </c>
      <c r="G66" s="58"/>
      <c r="H66" s="58"/>
    </row>
    <row r="67" spans="2:8">
      <c r="B67" s="22" t="s">
        <v>310</v>
      </c>
      <c r="C67" s="120">
        <v>18213</v>
      </c>
      <c r="D67" s="22" t="s">
        <v>311</v>
      </c>
      <c r="E67" s="121">
        <f>E66*1.05</f>
        <v>18211.637563350007</v>
      </c>
      <c r="F67" s="122" t="s">
        <v>306</v>
      </c>
      <c r="G67" s="58"/>
      <c r="H67" s="58"/>
    </row>
    <row r="68" spans="2:8" ht="13.5" thickBot="1">
      <c r="D68" s="3"/>
      <c r="E68" s="3"/>
      <c r="F68" s="4"/>
    </row>
    <row r="69" spans="2:8" ht="34.5" thickBot="1">
      <c r="B69" s="109" t="s">
        <v>261</v>
      </c>
      <c r="C69" s="110" t="s">
        <v>262</v>
      </c>
      <c r="D69" s="110" t="s">
        <v>263</v>
      </c>
      <c r="E69" s="110" t="s">
        <v>264</v>
      </c>
      <c r="F69" s="110" t="s">
        <v>265</v>
      </c>
      <c r="G69" s="110" t="s">
        <v>266</v>
      </c>
    </row>
    <row r="70" spans="2:8" ht="13.5" thickBot="1">
      <c r="B70" s="111" t="s">
        <v>191</v>
      </c>
      <c r="C70" s="124" t="s">
        <v>267</v>
      </c>
      <c r="D70" s="124" t="s">
        <v>268</v>
      </c>
      <c r="E70" s="124" t="s">
        <v>268</v>
      </c>
      <c r="F70" s="124" t="s">
        <v>269</v>
      </c>
      <c r="G70" s="113">
        <v>0.1</v>
      </c>
    </row>
    <row r="71" spans="2:8" ht="13.5" thickBot="1">
      <c r="B71" s="111" t="s">
        <v>215</v>
      </c>
      <c r="C71" s="124" t="s">
        <v>270</v>
      </c>
      <c r="D71" s="124" t="s">
        <v>271</v>
      </c>
      <c r="E71" s="124" t="s">
        <v>271</v>
      </c>
      <c r="F71" s="124" t="s">
        <v>272</v>
      </c>
      <c r="G71" s="113">
        <v>0.1</v>
      </c>
    </row>
    <row r="72" spans="2:8" ht="13.5" thickBot="1">
      <c r="B72" s="111" t="s">
        <v>273</v>
      </c>
      <c r="C72" s="124">
        <v>13032.94</v>
      </c>
      <c r="D72" s="124">
        <v>4887.3609999999999</v>
      </c>
      <c r="E72" s="124">
        <v>4887.3599999999997</v>
      </c>
      <c r="F72" s="124">
        <v>3258.22</v>
      </c>
      <c r="G72" s="113">
        <v>0.1</v>
      </c>
    </row>
    <row r="73" spans="2:8" ht="13.5" thickBot="1">
      <c r="B73" s="111" t="s">
        <v>277</v>
      </c>
      <c r="C73" s="124">
        <v>14336.19</v>
      </c>
      <c r="D73" s="124">
        <v>5376.07</v>
      </c>
      <c r="E73" s="124">
        <v>5376.07</v>
      </c>
      <c r="F73" s="124">
        <v>3584.05</v>
      </c>
      <c r="G73" s="113">
        <v>0.1</v>
      </c>
    </row>
    <row r="74" spans="2:8" ht="13.5" thickBot="1">
      <c r="B74" s="111" t="s">
        <v>281</v>
      </c>
      <c r="C74" s="124" t="s">
        <v>282</v>
      </c>
      <c r="D74" s="124" t="s">
        <v>283</v>
      </c>
      <c r="E74" s="124" t="s">
        <v>283</v>
      </c>
      <c r="F74" s="124" t="s">
        <v>284</v>
      </c>
      <c r="G74" s="113">
        <v>0.1</v>
      </c>
    </row>
    <row r="75" spans="2:8" ht="13.5" thickBot="1">
      <c r="B75" s="111" t="s">
        <v>285</v>
      </c>
      <c r="C75" s="124" t="s">
        <v>286</v>
      </c>
      <c r="D75" s="124" t="s">
        <v>287</v>
      </c>
      <c r="E75" s="124" t="s">
        <v>287</v>
      </c>
      <c r="F75" s="124" t="s">
        <v>288</v>
      </c>
      <c r="G75" s="113">
        <v>0.1</v>
      </c>
    </row>
    <row r="76" spans="2:8" ht="13.5" thickBot="1">
      <c r="B76" s="111" t="s">
        <v>289</v>
      </c>
      <c r="C76" s="124" t="s">
        <v>290</v>
      </c>
      <c r="D76" s="124" t="s">
        <v>291</v>
      </c>
      <c r="E76" s="124" t="s">
        <v>291</v>
      </c>
      <c r="F76" s="124" t="s">
        <v>292</v>
      </c>
      <c r="G76" s="113">
        <v>0.05</v>
      </c>
    </row>
    <row r="78" spans="2:8" ht="15">
      <c r="B78" s="12" t="s">
        <v>342</v>
      </c>
      <c r="E78" s="2"/>
    </row>
    <row r="79" spans="2:8">
      <c r="B79" s="123"/>
      <c r="C79" s="3" t="s">
        <v>17</v>
      </c>
      <c r="E79" s="4">
        <f>SUM(E80+E81)</f>
        <v>530.69000000000005</v>
      </c>
    </row>
    <row r="80" spans="2:8">
      <c r="B80" s="123"/>
      <c r="C80" s="3" t="s">
        <v>18</v>
      </c>
      <c r="E80" s="2">
        <v>448.73</v>
      </c>
      <c r="F80" s="2" t="s">
        <v>24</v>
      </c>
    </row>
    <row r="81" spans="1:8">
      <c r="C81" s="3" t="s">
        <v>19</v>
      </c>
      <c r="E81" s="2">
        <v>81.96</v>
      </c>
      <c r="F81" s="55" t="s">
        <v>114</v>
      </c>
    </row>
    <row r="82" spans="1:8">
      <c r="D82" s="3"/>
      <c r="E82" s="2"/>
      <c r="F82" s="2"/>
    </row>
    <row r="83" spans="1:8">
      <c r="D83" s="3"/>
      <c r="F83" s="2"/>
    </row>
    <row r="84" spans="1:8" ht="15">
      <c r="B84" s="12" t="s">
        <v>22</v>
      </c>
      <c r="D84" s="123"/>
      <c r="G84" s="2"/>
    </row>
    <row r="85" spans="1:8">
      <c r="C85" s="22" t="s">
        <v>329</v>
      </c>
      <c r="F85" s="2">
        <f>E80*9</f>
        <v>4038.57</v>
      </c>
    </row>
    <row r="86" spans="1:8">
      <c r="C86" s="22" t="s">
        <v>330</v>
      </c>
      <c r="F86" s="2">
        <f>E80*9</f>
        <v>4038.57</v>
      </c>
    </row>
    <row r="87" spans="1:8">
      <c r="C87" s="22" t="s">
        <v>331</v>
      </c>
      <c r="F87" s="14">
        <f>E80*6</f>
        <v>2692.38</v>
      </c>
    </row>
    <row r="88" spans="1:8" ht="15">
      <c r="C88" s="29" t="s">
        <v>37</v>
      </c>
      <c r="D88" s="29"/>
      <c r="E88" s="24"/>
      <c r="F88" s="30">
        <f>SUM(F85:F87)</f>
        <v>10769.52</v>
      </c>
    </row>
    <row r="89" spans="1:8">
      <c r="F89" s="2"/>
    </row>
    <row r="90" spans="1:8" ht="15">
      <c r="B90" s="12" t="s">
        <v>23</v>
      </c>
    </row>
    <row r="91" spans="1:8">
      <c r="C91" s="22" t="s">
        <v>343</v>
      </c>
      <c r="F91" s="2">
        <f>E81*9</f>
        <v>737.64</v>
      </c>
    </row>
    <row r="92" spans="1:8">
      <c r="C92" s="22" t="s">
        <v>344</v>
      </c>
      <c r="F92" s="2">
        <f>E81*9</f>
        <v>737.64</v>
      </c>
    </row>
    <row r="93" spans="1:8">
      <c r="C93" s="22" t="s">
        <v>345</v>
      </c>
      <c r="F93" s="14">
        <f>E81*6</f>
        <v>491.76</v>
      </c>
    </row>
    <row r="94" spans="1:8" ht="15">
      <c r="C94" s="29" t="s">
        <v>38</v>
      </c>
      <c r="D94" s="29"/>
      <c r="E94" s="24"/>
      <c r="F94" s="30">
        <f>SUM(F91:F93)</f>
        <v>1967.04</v>
      </c>
    </row>
    <row r="95" spans="1:8" ht="15">
      <c r="C95" s="12"/>
      <c r="F95" s="13"/>
    </row>
    <row r="96" spans="1:8" ht="15.75">
      <c r="A96" s="9" t="s">
        <v>336</v>
      </c>
      <c r="B96" s="8"/>
      <c r="C96" s="8"/>
      <c r="D96" s="8"/>
      <c r="E96" s="8"/>
      <c r="F96" s="8"/>
      <c r="G96" s="8"/>
      <c r="H96" s="8"/>
    </row>
    <row r="97" spans="1:2">
      <c r="A97" s="23"/>
      <c r="B97" s="22" t="s">
        <v>337</v>
      </c>
    </row>
    <row r="98" spans="1:2">
      <c r="B98" s="22" t="s">
        <v>338</v>
      </c>
    </row>
  </sheetData>
  <mergeCells count="4">
    <mergeCell ref="A1:H1"/>
    <mergeCell ref="A2:H2"/>
    <mergeCell ref="A3:H3"/>
    <mergeCell ref="A31:H31"/>
  </mergeCells>
  <hyperlinks>
    <hyperlink ref="K49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8"/>
  <sheetViews>
    <sheetView zoomScaleNormal="100" workbookViewId="0">
      <selection activeCell="K30" sqref="K30"/>
    </sheetView>
  </sheetViews>
  <sheetFormatPr defaultRowHeight="12.75"/>
  <cols>
    <col min="3" max="6" width="13.28515625" customWidth="1"/>
    <col min="7" max="7" width="9.42578125" customWidth="1"/>
    <col min="8" max="8" width="10.7109375" customWidth="1"/>
    <col min="10" max="10" width="38.85546875" customWidth="1"/>
    <col min="11" max="12" width="14" customWidth="1"/>
    <col min="13" max="13" width="15.28515625" bestFit="1" customWidth="1"/>
  </cols>
  <sheetData>
    <row r="1" spans="1:13" ht="20.25">
      <c r="A1" s="169" t="s">
        <v>15</v>
      </c>
      <c r="B1" s="169"/>
      <c r="C1" s="169"/>
      <c r="D1" s="169"/>
      <c r="E1" s="169"/>
      <c r="F1" s="169"/>
      <c r="G1" s="169"/>
      <c r="H1" s="169"/>
      <c r="J1" s="73" t="s">
        <v>328</v>
      </c>
      <c r="K1" s="74"/>
      <c r="L1" s="74"/>
      <c r="M1" s="75"/>
    </row>
    <row r="2" spans="1:13" ht="18">
      <c r="A2" s="170" t="s">
        <v>13</v>
      </c>
      <c r="B2" s="170"/>
      <c r="C2" s="170"/>
      <c r="D2" s="170"/>
      <c r="E2" s="170"/>
      <c r="F2" s="170"/>
      <c r="G2" s="170"/>
      <c r="H2" s="170"/>
      <c r="J2" s="76"/>
      <c r="M2" s="77"/>
    </row>
    <row r="3" spans="1:13" ht="18">
      <c r="A3" s="170" t="s">
        <v>14</v>
      </c>
      <c r="B3" s="170"/>
      <c r="C3" s="170"/>
      <c r="D3" s="170"/>
      <c r="E3" s="170"/>
      <c r="F3" s="170"/>
      <c r="G3" s="170"/>
      <c r="H3" s="170"/>
      <c r="J3" s="78" t="s">
        <v>314</v>
      </c>
      <c r="K3" s="35" t="s">
        <v>281</v>
      </c>
      <c r="L3" s="35" t="s">
        <v>322</v>
      </c>
      <c r="M3" s="79" t="s">
        <v>323</v>
      </c>
    </row>
    <row r="4" spans="1:13" ht="23.25">
      <c r="A4" s="21" t="s">
        <v>319</v>
      </c>
      <c r="J4" s="80" t="s">
        <v>315</v>
      </c>
      <c r="K4" s="81" t="s">
        <v>324</v>
      </c>
      <c r="L4" s="81" t="s">
        <v>325</v>
      </c>
      <c r="M4" s="82" t="s">
        <v>326</v>
      </c>
    </row>
    <row r="5" spans="1:13">
      <c r="A5" s="3" t="s">
        <v>320</v>
      </c>
      <c r="J5" s="83" t="s">
        <v>316</v>
      </c>
      <c r="K5" s="90">
        <f>SUM(E15/26.1*9.9)</f>
        <v>9482.758620689654</v>
      </c>
      <c r="L5" s="90">
        <f>SUM(E15/26.1*9.6)</f>
        <v>9195.4022988505731</v>
      </c>
      <c r="M5" s="91">
        <f>SUM(E15/26/1*6.6)</f>
        <v>6346.1538461538457</v>
      </c>
    </row>
    <row r="6" spans="1:13">
      <c r="J6" s="83" t="s">
        <v>327</v>
      </c>
      <c r="K6" s="90">
        <f>K5*0.124</f>
        <v>1175.862068965517</v>
      </c>
      <c r="L6" s="90">
        <f>L5*0.124</f>
        <v>1140.2298850574712</v>
      </c>
      <c r="M6" s="91">
        <f>M5*0.124</f>
        <v>786.92307692307691</v>
      </c>
    </row>
    <row r="7" spans="1:13" ht="15.75">
      <c r="A7" s="9" t="s">
        <v>26</v>
      </c>
      <c r="B7" s="8"/>
      <c r="C7" s="8"/>
      <c r="D7" s="8"/>
      <c r="E7" s="8"/>
      <c r="F7" s="8"/>
      <c r="G7" s="8"/>
      <c r="H7" s="8"/>
      <c r="J7" s="76"/>
      <c r="K7" s="90"/>
      <c r="L7" s="90"/>
      <c r="M7" s="91"/>
    </row>
    <row r="8" spans="1:13" ht="15.75">
      <c r="A8" s="15"/>
      <c r="J8" s="83" t="s">
        <v>53</v>
      </c>
      <c r="K8" s="90"/>
      <c r="L8" s="90"/>
      <c r="M8" s="91"/>
    </row>
    <row r="9" spans="1:13" ht="15">
      <c r="B9" t="s">
        <v>71</v>
      </c>
      <c r="J9" s="83" t="s">
        <v>340</v>
      </c>
      <c r="K9" s="92">
        <f>F85</f>
        <v>4038.57</v>
      </c>
      <c r="L9" s="126">
        <f>F86</f>
        <v>4038.57</v>
      </c>
      <c r="M9" s="125">
        <f>F87</f>
        <v>2692.38</v>
      </c>
    </row>
    <row r="10" spans="1:13">
      <c r="B10" s="22" t="s">
        <v>295</v>
      </c>
      <c r="J10" s="129" t="s">
        <v>339</v>
      </c>
      <c r="K10" s="90"/>
      <c r="L10" s="90"/>
      <c r="M10" s="91"/>
    </row>
    <row r="11" spans="1:13">
      <c r="J11" s="84" t="s">
        <v>55</v>
      </c>
      <c r="K11" s="94">
        <f>SUM(K5:K10)</f>
        <v>14697.19068965517</v>
      </c>
      <c r="L11" s="94">
        <f>SUM(L5:L10)</f>
        <v>14374.202183908044</v>
      </c>
      <c r="M11" s="95">
        <f>SUM(M5:M9)</f>
        <v>9825.456923076923</v>
      </c>
    </row>
    <row r="12" spans="1:13" ht="19.5">
      <c r="A12" s="127" t="s">
        <v>251</v>
      </c>
      <c r="B12" s="105"/>
      <c r="C12" s="105"/>
      <c r="D12" s="105"/>
      <c r="E12" s="105"/>
      <c r="F12" s="105"/>
      <c r="G12" s="105"/>
      <c r="H12" s="105"/>
      <c r="J12" s="76"/>
      <c r="K12" s="90"/>
      <c r="L12" s="90"/>
      <c r="M12" s="91"/>
    </row>
    <row r="13" spans="1:13" ht="15.75">
      <c r="C13" s="7" t="s">
        <v>0</v>
      </c>
      <c r="D13" s="7" t="s">
        <v>4</v>
      </c>
      <c r="E13" s="7" t="s">
        <v>1</v>
      </c>
      <c r="F13" s="7" t="s">
        <v>2</v>
      </c>
      <c r="G13" s="7" t="s">
        <v>3</v>
      </c>
      <c r="J13" s="85" t="s">
        <v>57</v>
      </c>
      <c r="K13" s="96"/>
      <c r="L13" s="96">
        <f>SUM(K11:M11)</f>
        <v>38896.849796640134</v>
      </c>
      <c r="M13" s="97"/>
    </row>
    <row r="14" spans="1:13">
      <c r="C14" s="5">
        <v>1</v>
      </c>
      <c r="D14" s="6">
        <v>80</v>
      </c>
      <c r="E14" s="2">
        <v>50000</v>
      </c>
      <c r="F14" s="2">
        <f t="shared" ref="F14:F19" si="0">SUM(E14/26.1)</f>
        <v>1915.7088122605362</v>
      </c>
      <c r="G14" s="2">
        <f t="shared" ref="G14:G19" si="1">SUM(F14)/D14</f>
        <v>23.946360153256702</v>
      </c>
      <c r="K14" s="89"/>
      <c r="L14" s="89"/>
      <c r="M14" s="89"/>
    </row>
    <row r="15" spans="1:13" ht="15.75">
      <c r="A15" s="68" t="s">
        <v>312</v>
      </c>
      <c r="B15" s="69"/>
      <c r="C15" s="70">
        <v>0.5</v>
      </c>
      <c r="D15" s="71">
        <v>40</v>
      </c>
      <c r="E15" s="72">
        <v>25000</v>
      </c>
      <c r="F15" s="72">
        <f t="shared" si="0"/>
        <v>957.8544061302681</v>
      </c>
      <c r="G15" s="72">
        <f t="shared" si="1"/>
        <v>23.946360153256702</v>
      </c>
      <c r="H15" s="69"/>
      <c r="J15" s="86" t="s">
        <v>317</v>
      </c>
      <c r="K15" s="35" t="s">
        <v>281</v>
      </c>
      <c r="L15" s="35" t="s">
        <v>322</v>
      </c>
      <c r="M15" s="79" t="s">
        <v>323</v>
      </c>
    </row>
    <row r="16" spans="1:13" ht="22.5">
      <c r="A16" s="58"/>
      <c r="C16" s="5">
        <v>0.44</v>
      </c>
      <c r="D16" s="6">
        <v>35.200000000000003</v>
      </c>
      <c r="E16" s="2">
        <v>22000</v>
      </c>
      <c r="F16" s="2">
        <f t="shared" si="0"/>
        <v>842.91187739463601</v>
      </c>
      <c r="G16" s="2">
        <f t="shared" si="1"/>
        <v>23.946360153256702</v>
      </c>
      <c r="J16" s="80" t="s">
        <v>341</v>
      </c>
      <c r="K16" s="81" t="s">
        <v>324</v>
      </c>
      <c r="L16" s="81" t="s">
        <v>325</v>
      </c>
      <c r="M16" s="82" t="s">
        <v>326</v>
      </c>
    </row>
    <row r="17" spans="1:13">
      <c r="A17" s="58"/>
      <c r="C17" s="5">
        <v>0.4</v>
      </c>
      <c r="D17" s="6">
        <v>32</v>
      </c>
      <c r="E17" s="2">
        <v>20000</v>
      </c>
      <c r="F17" s="2">
        <f t="shared" si="0"/>
        <v>766.28352490421457</v>
      </c>
      <c r="G17" s="2">
        <f t="shared" si="1"/>
        <v>23.946360153256705</v>
      </c>
      <c r="J17" s="83" t="s">
        <v>318</v>
      </c>
      <c r="K17" s="90">
        <f>SUM(E25/26.1*9.9)</f>
        <v>8619.8275862068967</v>
      </c>
      <c r="L17" s="90">
        <f>SUM(E25/26.1*9.6)</f>
        <v>8358.6206896551721</v>
      </c>
      <c r="M17" s="91">
        <f>SUM(E25/26/1*6.6)</f>
        <v>5768.6538461538457</v>
      </c>
    </row>
    <row r="18" spans="1:13">
      <c r="A18" s="59"/>
      <c r="C18" s="5">
        <v>0.33</v>
      </c>
      <c r="D18" s="6">
        <v>26.4</v>
      </c>
      <c r="E18" s="2">
        <v>16500</v>
      </c>
      <c r="F18" s="2">
        <f t="shared" si="0"/>
        <v>632.18390804597698</v>
      </c>
      <c r="G18" s="2">
        <f t="shared" si="1"/>
        <v>23.946360153256705</v>
      </c>
      <c r="J18" s="83" t="s">
        <v>327</v>
      </c>
      <c r="K18" s="90">
        <f>K17*0.124</f>
        <v>1068.8586206896553</v>
      </c>
      <c r="L18" s="90">
        <f>L17*0.124</f>
        <v>1036.4689655172413</v>
      </c>
      <c r="M18" s="91">
        <f>M17*0.124</f>
        <v>715.31307692307689</v>
      </c>
    </row>
    <row r="19" spans="1:13">
      <c r="C19" s="5">
        <v>0.25</v>
      </c>
      <c r="D19" s="6">
        <v>20</v>
      </c>
      <c r="E19" s="2">
        <v>12500</v>
      </c>
      <c r="F19" s="2">
        <f t="shared" si="0"/>
        <v>478.92720306513405</v>
      </c>
      <c r="G19" s="2">
        <f t="shared" si="1"/>
        <v>23.946360153256702</v>
      </c>
      <c r="J19" s="76"/>
      <c r="K19" s="90"/>
      <c r="L19" s="90"/>
      <c r="M19" s="91"/>
    </row>
    <row r="20" spans="1:13">
      <c r="C20" s="5"/>
      <c r="D20" s="6"/>
      <c r="E20" s="2"/>
      <c r="F20" s="2"/>
      <c r="G20" s="2"/>
      <c r="J20" s="83" t="s">
        <v>53</v>
      </c>
      <c r="K20" s="90"/>
      <c r="L20" s="90"/>
      <c r="M20" s="91"/>
    </row>
    <row r="21" spans="1:13" ht="15">
      <c r="J21" s="83" t="s">
        <v>340</v>
      </c>
      <c r="K21" s="92">
        <f>F85</f>
        <v>4038.57</v>
      </c>
      <c r="L21" s="92">
        <f>F86</f>
        <v>4038.57</v>
      </c>
      <c r="M21" s="93">
        <f>F87</f>
        <v>2692.38</v>
      </c>
    </row>
    <row r="22" spans="1:13" ht="19.5">
      <c r="A22" s="127" t="s">
        <v>252</v>
      </c>
      <c r="B22" s="105"/>
      <c r="C22" s="105"/>
      <c r="D22" s="105"/>
      <c r="E22" s="105"/>
      <c r="F22" s="105"/>
      <c r="G22" s="105"/>
      <c r="H22" s="105"/>
      <c r="J22" s="129" t="s">
        <v>339</v>
      </c>
      <c r="K22" s="90"/>
      <c r="L22" s="90"/>
      <c r="M22" s="91"/>
    </row>
    <row r="23" spans="1:13">
      <c r="C23" s="7" t="s">
        <v>0</v>
      </c>
      <c r="D23" s="7" t="s">
        <v>4</v>
      </c>
      <c r="E23" s="7" t="s">
        <v>1</v>
      </c>
      <c r="F23" s="7" t="s">
        <v>2</v>
      </c>
      <c r="G23" s="7" t="s">
        <v>3</v>
      </c>
      <c r="J23" s="84" t="s">
        <v>55</v>
      </c>
      <c r="K23" s="94">
        <f>SUM(K17:K22)</f>
        <v>13727.256206896553</v>
      </c>
      <c r="L23" s="94">
        <f>SUM(L17:L22)</f>
        <v>13433.659655172412</v>
      </c>
      <c r="M23" s="95">
        <f>SUM(M17:M21)</f>
        <v>9176.3469230769224</v>
      </c>
    </row>
    <row r="24" spans="1:13">
      <c r="C24" s="5">
        <v>1</v>
      </c>
      <c r="D24" s="6">
        <v>80</v>
      </c>
      <c r="E24" s="2">
        <v>45450</v>
      </c>
      <c r="F24" s="2">
        <f t="shared" ref="F24:F29" si="2">SUM(E24/26.1)</f>
        <v>1741.3793103448274</v>
      </c>
      <c r="G24" s="2">
        <f t="shared" ref="G24:G29" si="3">SUM(F24)/D24</f>
        <v>21.767241379310342</v>
      </c>
      <c r="J24" s="76"/>
      <c r="K24" s="90"/>
      <c r="L24" s="90"/>
      <c r="M24" s="91"/>
    </row>
    <row r="25" spans="1:13" ht="15.75">
      <c r="A25" s="68" t="s">
        <v>313</v>
      </c>
      <c r="B25" s="69"/>
      <c r="C25" s="70">
        <v>0.5</v>
      </c>
      <c r="D25" s="71">
        <v>40</v>
      </c>
      <c r="E25" s="72">
        <v>22725</v>
      </c>
      <c r="F25" s="72">
        <f t="shared" si="2"/>
        <v>870.68965517241372</v>
      </c>
      <c r="G25" s="72">
        <f t="shared" si="3"/>
        <v>21.767241379310342</v>
      </c>
      <c r="H25" s="69"/>
      <c r="J25" s="85" t="s">
        <v>57</v>
      </c>
      <c r="K25" s="96"/>
      <c r="L25" s="96">
        <f>SUM(K23:M23)</f>
        <v>36337.262785145882</v>
      </c>
      <c r="M25" s="97"/>
    </row>
    <row r="26" spans="1:13">
      <c r="A26" s="58"/>
      <c r="C26" s="5">
        <v>0.44</v>
      </c>
      <c r="D26" s="6">
        <v>35.200000000000003</v>
      </c>
      <c r="E26" s="2">
        <v>20000</v>
      </c>
      <c r="F26" s="2">
        <f t="shared" si="2"/>
        <v>766.28352490421457</v>
      </c>
      <c r="G26" s="2">
        <f t="shared" si="3"/>
        <v>21.769418321142457</v>
      </c>
    </row>
    <row r="27" spans="1:13" ht="16.5" thickBot="1">
      <c r="A27" s="58"/>
      <c r="C27" s="5">
        <v>0.4</v>
      </c>
      <c r="D27" s="6">
        <v>32</v>
      </c>
      <c r="E27" s="2">
        <v>18185</v>
      </c>
      <c r="F27" s="2">
        <f t="shared" si="2"/>
        <v>696.74329501915702</v>
      </c>
      <c r="G27" s="2">
        <f t="shared" si="3"/>
        <v>21.773227969348657</v>
      </c>
      <c r="J27" s="114" t="s">
        <v>72</v>
      </c>
      <c r="K27" s="115"/>
      <c r="L27" s="115"/>
      <c r="M27" s="115"/>
    </row>
    <row r="28" spans="1:13">
      <c r="A28" s="59"/>
      <c r="C28" s="5">
        <v>0.33</v>
      </c>
      <c r="D28" s="6">
        <v>26.4</v>
      </c>
      <c r="E28" s="2">
        <v>15000</v>
      </c>
      <c r="F28" s="2">
        <f t="shared" si="2"/>
        <v>574.71264367816093</v>
      </c>
      <c r="G28" s="2">
        <f t="shared" si="3"/>
        <v>21.76941832114246</v>
      </c>
      <c r="M28" s="56"/>
    </row>
    <row r="29" spans="1:13">
      <c r="C29" s="5">
        <v>0.25</v>
      </c>
      <c r="D29" s="6">
        <v>20</v>
      </c>
      <c r="E29" s="2">
        <v>11365</v>
      </c>
      <c r="F29" s="2">
        <f t="shared" si="2"/>
        <v>435.4406130268199</v>
      </c>
      <c r="G29" s="2">
        <f t="shared" si="3"/>
        <v>21.772030651340994</v>
      </c>
      <c r="K29" s="116" t="s">
        <v>346</v>
      </c>
      <c r="L29" s="116" t="s">
        <v>347</v>
      </c>
      <c r="M29" s="116" t="s">
        <v>348</v>
      </c>
    </row>
    <row r="30" spans="1:13">
      <c r="J30" s="117" t="s">
        <v>299</v>
      </c>
      <c r="K30" s="56"/>
      <c r="L30" s="56"/>
      <c r="M30" s="56"/>
    </row>
    <row r="31" spans="1:13">
      <c r="A31" s="171" t="s">
        <v>321</v>
      </c>
      <c r="B31" s="172"/>
      <c r="C31" s="172"/>
      <c r="D31" s="172"/>
      <c r="E31" s="172"/>
      <c r="F31" s="172"/>
      <c r="G31" s="172"/>
      <c r="H31" s="172"/>
      <c r="J31" s="117" t="s">
        <v>300</v>
      </c>
      <c r="K31" s="56"/>
      <c r="L31" s="56"/>
      <c r="M31" s="56"/>
    </row>
    <row r="32" spans="1:13">
      <c r="A32" s="54"/>
      <c r="J32" s="22" t="s">
        <v>301</v>
      </c>
      <c r="K32" s="35"/>
      <c r="L32" s="35"/>
      <c r="M32" s="35"/>
    </row>
    <row r="34" spans="1:13">
      <c r="K34" s="116" t="s">
        <v>296</v>
      </c>
      <c r="L34" s="116" t="s">
        <v>297</v>
      </c>
      <c r="M34" s="116" t="s">
        <v>298</v>
      </c>
    </row>
    <row r="35" spans="1:13">
      <c r="J35" s="117" t="s">
        <v>299</v>
      </c>
      <c r="K35" s="56">
        <v>1138.94</v>
      </c>
      <c r="L35" s="56">
        <v>1138.94</v>
      </c>
      <c r="M35" s="56">
        <v>1138.94</v>
      </c>
    </row>
    <row r="36" spans="1:13">
      <c r="J36" s="117" t="s">
        <v>300</v>
      </c>
      <c r="K36" s="56">
        <v>116.47</v>
      </c>
      <c r="L36" s="56">
        <v>116.47</v>
      </c>
      <c r="M36" s="56">
        <v>116.47</v>
      </c>
    </row>
    <row r="37" spans="1:13">
      <c r="J37" s="22" t="s">
        <v>301</v>
      </c>
      <c r="K37" s="35">
        <f>SUM(K35:K36)</f>
        <v>1255.4100000000001</v>
      </c>
      <c r="L37" s="35">
        <f>SUM(L35:L36)</f>
        <v>1255.4100000000001</v>
      </c>
      <c r="M37" s="35">
        <f>SUM(M35:M36)</f>
        <v>1255.4100000000001</v>
      </c>
    </row>
    <row r="38" spans="1:13">
      <c r="K38" s="35"/>
      <c r="L38" s="35"/>
      <c r="M38" s="35"/>
    </row>
    <row r="39" spans="1:13">
      <c r="K39" s="116" t="s">
        <v>158</v>
      </c>
      <c r="L39" s="116" t="s">
        <v>175</v>
      </c>
      <c r="M39" s="116" t="s">
        <v>212</v>
      </c>
    </row>
    <row r="40" spans="1:13">
      <c r="J40" s="117" t="s">
        <v>299</v>
      </c>
      <c r="K40" s="56">
        <v>1138.94</v>
      </c>
      <c r="L40" s="56">
        <v>1138.94</v>
      </c>
      <c r="M40" s="56">
        <v>1138.94</v>
      </c>
    </row>
    <row r="41" spans="1:13">
      <c r="J41" s="117" t="s">
        <v>300</v>
      </c>
      <c r="K41" s="56">
        <v>116.47</v>
      </c>
      <c r="L41" s="56">
        <v>116.47</v>
      </c>
      <c r="M41" s="56">
        <v>116.47</v>
      </c>
    </row>
    <row r="42" spans="1:13">
      <c r="J42" s="22" t="s">
        <v>301</v>
      </c>
      <c r="K42" s="35">
        <f>SUM(K40:K41)</f>
        <v>1255.4100000000001</v>
      </c>
      <c r="L42" s="35">
        <f>SUM(L40:L41)</f>
        <v>1255.4100000000001</v>
      </c>
      <c r="M42" s="35">
        <f>SUM(M40:M41)</f>
        <v>1255.4100000000001</v>
      </c>
    </row>
    <row r="43" spans="1:13">
      <c r="K43" s="50"/>
    </row>
    <row r="44" spans="1:13">
      <c r="K44" s="116" t="s">
        <v>88</v>
      </c>
      <c r="L44" s="116" t="s">
        <v>115</v>
      </c>
      <c r="M44" s="116" t="s">
        <v>156</v>
      </c>
    </row>
    <row r="45" spans="1:13">
      <c r="A45" s="128" t="str">
        <f ca="1">CELL("filename")</f>
        <v>T:\WEC Finances\WEC FY25-26 Budget\[...GA Salary Tuition Costs.xlsx]2025-2026</v>
      </c>
      <c r="B45" s="3"/>
      <c r="J45" s="117" t="s">
        <v>299</v>
      </c>
      <c r="K45" s="89">
        <v>1138.94</v>
      </c>
      <c r="L45" s="89">
        <v>1138.94</v>
      </c>
      <c r="M45" s="56">
        <v>1138.94</v>
      </c>
    </row>
    <row r="46" spans="1:13">
      <c r="J46" s="117" t="s">
        <v>300</v>
      </c>
      <c r="K46" s="56">
        <v>112.53</v>
      </c>
      <c r="L46" s="56">
        <v>114.19</v>
      </c>
      <c r="M46" s="56">
        <v>114.19</v>
      </c>
    </row>
    <row r="47" spans="1:13">
      <c r="J47" s="22" t="s">
        <v>301</v>
      </c>
      <c r="K47" s="35">
        <f>SUM(K45:K46)</f>
        <v>1251.47</v>
      </c>
      <c r="L47" s="35">
        <f>SUM(L45:L46)</f>
        <v>1253.1300000000001</v>
      </c>
      <c r="M47" s="35">
        <f>SUM(M45:M46)</f>
        <v>1253.1300000000001</v>
      </c>
    </row>
    <row r="49" spans="1:11" ht="18">
      <c r="A49" s="17" t="s">
        <v>25</v>
      </c>
      <c r="B49" s="18"/>
      <c r="C49" s="18"/>
      <c r="D49" s="18"/>
      <c r="E49" s="18"/>
      <c r="F49" s="18"/>
      <c r="G49" s="18"/>
      <c r="H49" s="18"/>
      <c r="J49" s="98" t="s">
        <v>238</v>
      </c>
      <c r="K49" s="130" t="s">
        <v>213</v>
      </c>
    </row>
    <row r="50" spans="1:11">
      <c r="A50" s="23"/>
    </row>
    <row r="51" spans="1:11">
      <c r="B51" t="s">
        <v>12</v>
      </c>
    </row>
    <row r="52" spans="1:11">
      <c r="B52" t="s">
        <v>11</v>
      </c>
    </row>
    <row r="53" spans="1:11">
      <c r="B53" t="s">
        <v>8</v>
      </c>
    </row>
    <row r="54" spans="1:11">
      <c r="B54" t="s">
        <v>226</v>
      </c>
    </row>
    <row r="56" spans="1:11">
      <c r="B56" s="101" t="s">
        <v>239</v>
      </c>
      <c r="C56" s="101"/>
      <c r="D56" s="101"/>
      <c r="E56" s="101"/>
      <c r="F56" s="101"/>
      <c r="G56" s="101"/>
      <c r="H56" s="102"/>
    </row>
    <row r="57" spans="1:11">
      <c r="B57" s="101" t="s">
        <v>302</v>
      </c>
      <c r="C57" s="101"/>
      <c r="D57" s="101"/>
      <c r="E57" s="101"/>
      <c r="F57" s="101"/>
      <c r="G57" s="101"/>
      <c r="H57" s="102"/>
    </row>
    <row r="58" spans="1:11">
      <c r="B58" s="22"/>
      <c r="C58" s="22"/>
      <c r="D58" s="22"/>
      <c r="E58" s="3"/>
      <c r="F58" s="3"/>
      <c r="G58" s="3"/>
    </row>
    <row r="59" spans="1:11">
      <c r="B59" s="22" t="s">
        <v>335</v>
      </c>
      <c r="C59" s="22"/>
      <c r="D59" s="22"/>
      <c r="E59" s="3"/>
      <c r="F59" s="3"/>
      <c r="G59" s="3"/>
    </row>
    <row r="60" spans="1:11">
      <c r="B60" s="22" t="s">
        <v>333</v>
      </c>
      <c r="C60" s="22"/>
      <c r="D60" s="22"/>
      <c r="E60" s="3"/>
      <c r="F60" s="3"/>
      <c r="G60" s="3"/>
    </row>
    <row r="61" spans="1:11">
      <c r="B61" s="118" t="s">
        <v>334</v>
      </c>
      <c r="C61" s="118"/>
      <c r="D61" s="118"/>
      <c r="E61" s="119"/>
      <c r="F61" s="119"/>
      <c r="G61" s="119"/>
    </row>
    <row r="62" spans="1:11">
      <c r="B62" s="22" t="s">
        <v>303</v>
      </c>
      <c r="C62" s="120">
        <v>11848</v>
      </c>
      <c r="D62" s="22" t="s">
        <v>304</v>
      </c>
      <c r="E62" s="121">
        <v>11846.47</v>
      </c>
      <c r="F62" s="58" t="s">
        <v>332</v>
      </c>
      <c r="G62" s="58"/>
      <c r="H62" s="58"/>
    </row>
    <row r="63" spans="1:11">
      <c r="B63" s="22" t="s">
        <v>305</v>
      </c>
      <c r="C63" s="120">
        <v>13033</v>
      </c>
      <c r="D63" s="22" t="s">
        <v>304</v>
      </c>
      <c r="E63" s="121">
        <f>E62*1.1</f>
        <v>13031.117</v>
      </c>
      <c r="F63" s="58" t="s">
        <v>306</v>
      </c>
      <c r="G63" s="58"/>
      <c r="H63" s="58"/>
    </row>
    <row r="64" spans="1:11">
      <c r="B64" s="22" t="s">
        <v>307</v>
      </c>
      <c r="C64" s="120">
        <v>14336</v>
      </c>
      <c r="D64" s="22" t="s">
        <v>304</v>
      </c>
      <c r="E64" s="121">
        <f>E63*1.1</f>
        <v>14334.228700000001</v>
      </c>
      <c r="F64" s="58" t="s">
        <v>306</v>
      </c>
      <c r="G64" s="58"/>
      <c r="H64" s="58"/>
    </row>
    <row r="65" spans="2:8">
      <c r="B65" s="22" t="s">
        <v>308</v>
      </c>
      <c r="C65" s="120">
        <v>15769</v>
      </c>
      <c r="D65" s="22" t="s">
        <v>304</v>
      </c>
      <c r="E65" s="121">
        <f>E64*1.1</f>
        <v>15767.651570000004</v>
      </c>
      <c r="F65" s="58" t="s">
        <v>306</v>
      </c>
      <c r="G65" s="58"/>
      <c r="H65" s="58"/>
    </row>
    <row r="66" spans="2:8">
      <c r="B66" s="22" t="s">
        <v>309</v>
      </c>
      <c r="C66" s="120">
        <v>17346</v>
      </c>
      <c r="D66" s="22" t="s">
        <v>304</v>
      </c>
      <c r="E66" s="121">
        <f>E65*1.1</f>
        <v>17344.416727000007</v>
      </c>
      <c r="F66" s="58" t="s">
        <v>306</v>
      </c>
      <c r="G66" s="58"/>
      <c r="H66" s="58"/>
    </row>
    <row r="67" spans="2:8">
      <c r="B67" s="22" t="s">
        <v>310</v>
      </c>
      <c r="C67" s="120">
        <v>18213</v>
      </c>
      <c r="D67" s="22" t="s">
        <v>311</v>
      </c>
      <c r="E67" s="121">
        <f>E66*1.05</f>
        <v>18211.637563350007</v>
      </c>
      <c r="F67" s="122" t="s">
        <v>306</v>
      </c>
      <c r="G67" s="58"/>
      <c r="H67" s="58"/>
    </row>
    <row r="68" spans="2:8" ht="13.5" thickBot="1">
      <c r="D68" s="3"/>
      <c r="E68" s="3"/>
      <c r="F68" s="4"/>
    </row>
    <row r="69" spans="2:8" ht="34.5" thickBot="1">
      <c r="B69" s="109" t="s">
        <v>261</v>
      </c>
      <c r="C69" s="110" t="s">
        <v>262</v>
      </c>
      <c r="D69" s="110" t="s">
        <v>263</v>
      </c>
      <c r="E69" s="110" t="s">
        <v>264</v>
      </c>
      <c r="F69" s="110" t="s">
        <v>265</v>
      </c>
      <c r="G69" s="110" t="s">
        <v>266</v>
      </c>
    </row>
    <row r="70" spans="2:8" ht="13.5" thickBot="1">
      <c r="B70" s="111" t="s">
        <v>191</v>
      </c>
      <c r="C70" s="124" t="s">
        <v>267</v>
      </c>
      <c r="D70" s="124" t="s">
        <v>268</v>
      </c>
      <c r="E70" s="124" t="s">
        <v>268</v>
      </c>
      <c r="F70" s="124" t="s">
        <v>269</v>
      </c>
      <c r="G70" s="113">
        <v>0.1</v>
      </c>
    </row>
    <row r="71" spans="2:8" ht="13.5" thickBot="1">
      <c r="B71" s="111" t="s">
        <v>215</v>
      </c>
      <c r="C71" s="124" t="s">
        <v>270</v>
      </c>
      <c r="D71" s="124" t="s">
        <v>271</v>
      </c>
      <c r="E71" s="124" t="s">
        <v>271</v>
      </c>
      <c r="F71" s="124" t="s">
        <v>272</v>
      </c>
      <c r="G71" s="113">
        <v>0.1</v>
      </c>
    </row>
    <row r="72" spans="2:8" ht="13.5" thickBot="1">
      <c r="B72" s="111" t="s">
        <v>273</v>
      </c>
      <c r="C72" s="124">
        <v>13032.94</v>
      </c>
      <c r="D72" s="124">
        <v>4887.3609999999999</v>
      </c>
      <c r="E72" s="124">
        <v>4887.3599999999997</v>
      </c>
      <c r="F72" s="124">
        <v>3258.22</v>
      </c>
      <c r="G72" s="113">
        <v>0.1</v>
      </c>
    </row>
    <row r="73" spans="2:8" ht="13.5" thickBot="1">
      <c r="B73" s="111" t="s">
        <v>277</v>
      </c>
      <c r="C73" s="124">
        <v>14336.19</v>
      </c>
      <c r="D73" s="124">
        <v>5376.07</v>
      </c>
      <c r="E73" s="124">
        <v>5376.07</v>
      </c>
      <c r="F73" s="124">
        <v>3584.05</v>
      </c>
      <c r="G73" s="113">
        <v>0.1</v>
      </c>
    </row>
    <row r="74" spans="2:8" ht="13.5" thickBot="1">
      <c r="B74" s="111" t="s">
        <v>281</v>
      </c>
      <c r="C74" s="124" t="s">
        <v>282</v>
      </c>
      <c r="D74" s="124" t="s">
        <v>283</v>
      </c>
      <c r="E74" s="124" t="s">
        <v>283</v>
      </c>
      <c r="F74" s="124" t="s">
        <v>284</v>
      </c>
      <c r="G74" s="113">
        <v>0.1</v>
      </c>
    </row>
    <row r="75" spans="2:8" ht="13.5" thickBot="1">
      <c r="B75" s="111" t="s">
        <v>285</v>
      </c>
      <c r="C75" s="124" t="s">
        <v>286</v>
      </c>
      <c r="D75" s="124" t="s">
        <v>287</v>
      </c>
      <c r="E75" s="124" t="s">
        <v>287</v>
      </c>
      <c r="F75" s="124" t="s">
        <v>288</v>
      </c>
      <c r="G75" s="113">
        <v>0.1</v>
      </c>
    </row>
    <row r="76" spans="2:8" ht="13.5" thickBot="1">
      <c r="B76" s="111" t="s">
        <v>289</v>
      </c>
      <c r="C76" s="124" t="s">
        <v>290</v>
      </c>
      <c r="D76" s="124" t="s">
        <v>291</v>
      </c>
      <c r="E76" s="124" t="s">
        <v>291</v>
      </c>
      <c r="F76" s="124" t="s">
        <v>292</v>
      </c>
      <c r="G76" s="113">
        <v>0.05</v>
      </c>
    </row>
    <row r="78" spans="2:8" ht="15">
      <c r="B78" s="12" t="s">
        <v>342</v>
      </c>
      <c r="E78" s="2"/>
    </row>
    <row r="79" spans="2:8">
      <c r="B79" s="123"/>
      <c r="C79" s="3" t="s">
        <v>17</v>
      </c>
      <c r="E79" s="4">
        <f>SUM(E80+E81)</f>
        <v>530.69000000000005</v>
      </c>
    </row>
    <row r="80" spans="2:8">
      <c r="B80" s="123"/>
      <c r="C80" s="3" t="s">
        <v>18</v>
      </c>
      <c r="E80" s="2">
        <v>448.73</v>
      </c>
      <c r="F80" s="2" t="s">
        <v>24</v>
      </c>
    </row>
    <row r="81" spans="1:8">
      <c r="C81" s="3" t="s">
        <v>19</v>
      </c>
      <c r="E81" s="2">
        <v>81.96</v>
      </c>
      <c r="F81" s="55" t="s">
        <v>114</v>
      </c>
    </row>
    <row r="82" spans="1:8">
      <c r="D82" s="3"/>
      <c r="E82" s="2"/>
      <c r="F82" s="2"/>
    </row>
    <row r="83" spans="1:8">
      <c r="D83" s="3"/>
      <c r="F83" s="2"/>
    </row>
    <row r="84" spans="1:8" ht="15">
      <c r="B84" s="12" t="s">
        <v>22</v>
      </c>
      <c r="D84" s="123"/>
      <c r="G84" s="2"/>
    </row>
    <row r="85" spans="1:8">
      <c r="C85" s="22" t="s">
        <v>329</v>
      </c>
      <c r="F85" s="2">
        <f>E80*9</f>
        <v>4038.57</v>
      </c>
    </row>
    <row r="86" spans="1:8">
      <c r="C86" s="22" t="s">
        <v>330</v>
      </c>
      <c r="F86" s="2">
        <f>E80*9</f>
        <v>4038.57</v>
      </c>
    </row>
    <row r="87" spans="1:8">
      <c r="C87" s="22" t="s">
        <v>331</v>
      </c>
      <c r="F87" s="14">
        <f>E80*6</f>
        <v>2692.38</v>
      </c>
    </row>
    <row r="88" spans="1:8" ht="15">
      <c r="C88" s="29" t="s">
        <v>37</v>
      </c>
      <c r="D88" s="29"/>
      <c r="E88" s="24"/>
      <c r="F88" s="30">
        <f>SUM(F85:F87)</f>
        <v>10769.52</v>
      </c>
    </row>
    <row r="89" spans="1:8">
      <c r="F89" s="2"/>
    </row>
    <row r="90" spans="1:8" ht="15">
      <c r="B90" s="12" t="s">
        <v>23</v>
      </c>
    </row>
    <row r="91" spans="1:8">
      <c r="C91" s="22" t="s">
        <v>343</v>
      </c>
      <c r="F91" s="2">
        <f>E81*9</f>
        <v>737.64</v>
      </c>
    </row>
    <row r="92" spans="1:8">
      <c r="C92" s="22" t="s">
        <v>344</v>
      </c>
      <c r="F92" s="2">
        <f>E81*9</f>
        <v>737.64</v>
      </c>
    </row>
    <row r="93" spans="1:8">
      <c r="C93" s="22" t="s">
        <v>345</v>
      </c>
      <c r="F93" s="14">
        <f>E81*6</f>
        <v>491.76</v>
      </c>
    </row>
    <row r="94" spans="1:8" ht="15">
      <c r="C94" s="29" t="s">
        <v>38</v>
      </c>
      <c r="D94" s="29"/>
      <c r="E94" s="24"/>
      <c r="F94" s="30">
        <f>SUM(F91:F93)</f>
        <v>1967.04</v>
      </c>
    </row>
    <row r="95" spans="1:8" ht="15">
      <c r="C95" s="12"/>
      <c r="F95" s="13"/>
    </row>
    <row r="96" spans="1:8" ht="15.75">
      <c r="A96" s="9" t="s">
        <v>336</v>
      </c>
      <c r="B96" s="8"/>
      <c r="C96" s="8"/>
      <c r="D96" s="8"/>
      <c r="E96" s="8"/>
      <c r="F96" s="8"/>
      <c r="G96" s="8"/>
      <c r="H96" s="8"/>
    </row>
    <row r="97" spans="1:2">
      <c r="A97" s="23"/>
      <c r="B97" s="22" t="s">
        <v>337</v>
      </c>
    </row>
    <row r="98" spans="1:2">
      <c r="B98" s="22" t="s">
        <v>338</v>
      </c>
    </row>
  </sheetData>
  <mergeCells count="4">
    <mergeCell ref="A1:H1"/>
    <mergeCell ref="A2:H2"/>
    <mergeCell ref="A3:H3"/>
    <mergeCell ref="A31:H31"/>
  </mergeCells>
  <hyperlinks>
    <hyperlink ref="K49" r:id="rId1" xr:uid="{00000000-0004-0000-0300-000000000000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0"/>
  <sheetViews>
    <sheetView zoomScaleNormal="100" workbookViewId="0">
      <selection activeCell="K30" sqref="K30"/>
    </sheetView>
  </sheetViews>
  <sheetFormatPr defaultRowHeight="12.75"/>
  <cols>
    <col min="1" max="1" width="11.42578125" bestFit="1" customWidth="1"/>
    <col min="3" max="3" width="12.7109375" customWidth="1"/>
    <col min="4" max="4" width="16.42578125" customWidth="1"/>
    <col min="5" max="5" width="12.5703125" customWidth="1"/>
    <col min="6" max="6" width="11.42578125" customWidth="1"/>
    <col min="7" max="7" width="9.7109375" customWidth="1"/>
    <col min="8" max="8" width="8.5703125" customWidth="1"/>
    <col min="9" max="9" width="2.85546875" customWidth="1"/>
    <col min="10" max="10" width="37.7109375" customWidth="1"/>
    <col min="11" max="13" width="15.140625" customWidth="1"/>
    <col min="14" max="16" width="9.140625" customWidth="1"/>
  </cols>
  <sheetData>
    <row r="1" spans="1:13" ht="20.25" customHeight="1">
      <c r="A1" s="169" t="s">
        <v>15</v>
      </c>
      <c r="B1" s="169"/>
      <c r="C1" s="169"/>
      <c r="D1" s="169"/>
      <c r="E1" s="169"/>
      <c r="F1" s="169"/>
      <c r="G1" s="169"/>
      <c r="H1" s="169"/>
      <c r="J1" s="73" t="s">
        <v>254</v>
      </c>
      <c r="K1" s="74"/>
      <c r="L1" s="74"/>
      <c r="M1" s="75"/>
    </row>
    <row r="2" spans="1:13" ht="20.25" customHeight="1">
      <c r="A2" s="170" t="s">
        <v>13</v>
      </c>
      <c r="B2" s="170"/>
      <c r="C2" s="170"/>
      <c r="D2" s="170"/>
      <c r="E2" s="170"/>
      <c r="F2" s="170"/>
      <c r="G2" s="170"/>
      <c r="H2" s="170"/>
      <c r="J2" s="76"/>
      <c r="M2" s="77"/>
    </row>
    <row r="3" spans="1:13" ht="18" customHeight="1">
      <c r="A3" s="170" t="s">
        <v>14</v>
      </c>
      <c r="B3" s="170"/>
      <c r="C3" s="170"/>
      <c r="D3" s="170"/>
      <c r="E3" s="170"/>
      <c r="F3" s="170"/>
      <c r="G3" s="170"/>
      <c r="H3" s="170"/>
      <c r="J3" s="78" t="s">
        <v>218</v>
      </c>
      <c r="K3" s="35" t="s">
        <v>215</v>
      </c>
      <c r="L3" s="35" t="s">
        <v>216</v>
      </c>
      <c r="M3" s="79" t="s">
        <v>217</v>
      </c>
    </row>
    <row r="4" spans="1:13" ht="23.25">
      <c r="A4" s="21" t="s">
        <v>227</v>
      </c>
      <c r="J4" s="80" t="s">
        <v>258</v>
      </c>
      <c r="K4" s="81" t="s">
        <v>223</v>
      </c>
      <c r="L4" s="81" t="s">
        <v>224</v>
      </c>
      <c r="M4" s="82" t="s">
        <v>225</v>
      </c>
    </row>
    <row r="5" spans="1:13" ht="20.25" customHeight="1">
      <c r="A5" s="3" t="s">
        <v>228</v>
      </c>
      <c r="J5" s="83" t="s">
        <v>255</v>
      </c>
      <c r="K5" s="90">
        <f>F16*9.8</f>
        <v>8260.5363984674332</v>
      </c>
      <c r="L5" s="90">
        <f>F16*9.8</f>
        <v>8260.5363984674332</v>
      </c>
      <c r="M5" s="91">
        <f>F16*6.5</f>
        <v>5478.9272030651337</v>
      </c>
    </row>
    <row r="6" spans="1:13" ht="20.25" customHeight="1">
      <c r="J6" s="83" t="s">
        <v>222</v>
      </c>
      <c r="K6" s="90">
        <f>K5*0.121</f>
        <v>999.52490421455934</v>
      </c>
      <c r="L6" s="90">
        <f>L5*0.121</f>
        <v>999.52490421455934</v>
      </c>
      <c r="M6" s="91">
        <f>M5*0.121</f>
        <v>662.9501915708812</v>
      </c>
    </row>
    <row r="7" spans="1:13" ht="18" customHeight="1">
      <c r="A7" s="9" t="s">
        <v>26</v>
      </c>
      <c r="B7" s="8"/>
      <c r="C7" s="8"/>
      <c r="D7" s="8"/>
      <c r="J7" s="76"/>
      <c r="K7" s="90"/>
      <c r="L7" s="90"/>
      <c r="M7" s="91"/>
    </row>
    <row r="8" spans="1:13" ht="15.75">
      <c r="A8" s="15"/>
      <c r="J8" s="83" t="s">
        <v>53</v>
      </c>
      <c r="K8" s="90"/>
      <c r="L8" s="90"/>
      <c r="M8" s="91"/>
    </row>
    <row r="9" spans="1:13" ht="15">
      <c r="B9" t="s">
        <v>71</v>
      </c>
      <c r="J9" s="83" t="s">
        <v>77</v>
      </c>
      <c r="K9" s="92">
        <f>F85</f>
        <v>4038.57</v>
      </c>
      <c r="L9" s="92">
        <f>F86</f>
        <v>4038.57</v>
      </c>
      <c r="M9" s="93">
        <f>F87</f>
        <v>2692.38</v>
      </c>
    </row>
    <row r="10" spans="1:13">
      <c r="B10" t="s">
        <v>70</v>
      </c>
      <c r="J10" s="76"/>
      <c r="K10" s="90"/>
      <c r="L10" s="90"/>
      <c r="M10" s="91"/>
    </row>
    <row r="11" spans="1:13">
      <c r="J11" s="84" t="s">
        <v>55</v>
      </c>
      <c r="K11" s="94">
        <f>SUM(K5:K10)</f>
        <v>13298.631302681992</v>
      </c>
      <c r="L11" s="94">
        <f>SUM(L5:L10)</f>
        <v>13298.631302681992</v>
      </c>
      <c r="M11" s="95">
        <f>SUM(M5:M9)</f>
        <v>8834.2573946360153</v>
      </c>
    </row>
    <row r="12" spans="1:13">
      <c r="A12" s="106" t="s">
        <v>251</v>
      </c>
      <c r="B12" s="107"/>
      <c r="C12" s="105"/>
      <c r="D12" s="105"/>
      <c r="E12" s="105"/>
      <c r="F12" s="105"/>
      <c r="G12" s="105"/>
      <c r="H12" s="105"/>
      <c r="J12" s="76"/>
      <c r="K12" s="90"/>
      <c r="L12" s="90"/>
      <c r="M12" s="91"/>
    </row>
    <row r="13" spans="1:13" ht="15.75">
      <c r="C13" s="7" t="s">
        <v>0</v>
      </c>
      <c r="D13" s="7" t="s">
        <v>4</v>
      </c>
      <c r="E13" s="7" t="s">
        <v>1</v>
      </c>
      <c r="F13" s="7" t="s">
        <v>2</v>
      </c>
      <c r="G13" s="7" t="s">
        <v>3</v>
      </c>
      <c r="J13" s="85" t="s">
        <v>57</v>
      </c>
      <c r="K13" s="96"/>
      <c r="L13" s="96">
        <f>SUM(K11:M11)</f>
        <v>35431.519999999997</v>
      </c>
      <c r="M13" s="97"/>
    </row>
    <row r="14" spans="1:13">
      <c r="C14" s="5">
        <v>1</v>
      </c>
      <c r="D14" s="6">
        <v>80</v>
      </c>
      <c r="E14" s="2">
        <v>50000</v>
      </c>
      <c r="F14" s="2">
        <f t="shared" ref="F14:F19" si="0">SUM(E14/26.1)</f>
        <v>1915.7088122605362</v>
      </c>
      <c r="G14" s="2">
        <f t="shared" ref="G14:G19" si="1">SUM(F14)/D14</f>
        <v>23.946360153256702</v>
      </c>
      <c r="K14" s="89"/>
      <c r="L14" s="89"/>
      <c r="M14" s="89"/>
    </row>
    <row r="15" spans="1:13" ht="15.75">
      <c r="C15" s="5">
        <v>0.5</v>
      </c>
      <c r="D15" s="6">
        <v>40</v>
      </c>
      <c r="E15" s="2">
        <v>25000</v>
      </c>
      <c r="F15" s="2">
        <f t="shared" si="0"/>
        <v>957.8544061302681</v>
      </c>
      <c r="G15" s="2">
        <f t="shared" si="1"/>
        <v>23.946360153256702</v>
      </c>
      <c r="J15" s="86" t="s">
        <v>253</v>
      </c>
      <c r="K15" s="87" t="s">
        <v>215</v>
      </c>
      <c r="L15" s="87" t="s">
        <v>216</v>
      </c>
      <c r="M15" s="88" t="s">
        <v>217</v>
      </c>
    </row>
    <row r="16" spans="1:13" ht="22.5">
      <c r="A16" s="68" t="s">
        <v>220</v>
      </c>
      <c r="B16" s="69"/>
      <c r="C16" s="70">
        <v>0.44</v>
      </c>
      <c r="D16" s="71">
        <v>35.200000000000003</v>
      </c>
      <c r="E16" s="72">
        <v>22000</v>
      </c>
      <c r="F16" s="72">
        <f t="shared" si="0"/>
        <v>842.91187739463601</v>
      </c>
      <c r="G16" s="72">
        <f t="shared" si="1"/>
        <v>23.946360153256702</v>
      </c>
      <c r="H16" s="69"/>
      <c r="J16" s="80" t="s">
        <v>257</v>
      </c>
      <c r="K16" s="81" t="s">
        <v>223</v>
      </c>
      <c r="L16" s="81" t="s">
        <v>224</v>
      </c>
      <c r="M16" s="82" t="s">
        <v>225</v>
      </c>
    </row>
    <row r="17" spans="1:13">
      <c r="A17" s="58"/>
      <c r="C17" s="5">
        <v>0.4</v>
      </c>
      <c r="D17" s="6">
        <v>32</v>
      </c>
      <c r="E17" s="2">
        <v>20000</v>
      </c>
      <c r="F17" s="2">
        <f t="shared" si="0"/>
        <v>766.28352490421457</v>
      </c>
      <c r="G17" s="2">
        <f t="shared" si="1"/>
        <v>23.946360153256705</v>
      </c>
      <c r="J17" s="83" t="s">
        <v>221</v>
      </c>
      <c r="K17" s="90">
        <f>F17*9.8</f>
        <v>7509.5785440613035</v>
      </c>
      <c r="L17" s="90">
        <f>F17*9.8</f>
        <v>7509.5785440613035</v>
      </c>
      <c r="M17" s="91">
        <f>F17*6.5</f>
        <v>4980.8429118773947</v>
      </c>
    </row>
    <row r="18" spans="1:13">
      <c r="A18" s="59"/>
      <c r="C18" s="5">
        <v>0.33</v>
      </c>
      <c r="D18" s="6">
        <v>26.4</v>
      </c>
      <c r="E18" s="2">
        <v>16500</v>
      </c>
      <c r="F18" s="2">
        <f t="shared" si="0"/>
        <v>632.18390804597698</v>
      </c>
      <c r="G18" s="2">
        <f t="shared" si="1"/>
        <v>23.946360153256705</v>
      </c>
      <c r="J18" s="83" t="s">
        <v>222</v>
      </c>
      <c r="K18" s="90">
        <f>K17*0.121</f>
        <v>908.65900383141775</v>
      </c>
      <c r="L18" s="90">
        <f>L17*0.121</f>
        <v>908.65900383141775</v>
      </c>
      <c r="M18" s="91">
        <f>M17*0.121</f>
        <v>602.68199233716473</v>
      </c>
    </row>
    <row r="19" spans="1:13">
      <c r="C19" s="5">
        <v>0.25</v>
      </c>
      <c r="D19" s="6">
        <v>20</v>
      </c>
      <c r="E19" s="2">
        <v>12500</v>
      </c>
      <c r="F19" s="2">
        <f t="shared" si="0"/>
        <v>478.92720306513405</v>
      </c>
      <c r="G19" s="2">
        <f t="shared" si="1"/>
        <v>23.946360153256702</v>
      </c>
      <c r="J19" s="76"/>
      <c r="K19" s="90"/>
      <c r="L19" s="90"/>
      <c r="M19" s="91"/>
    </row>
    <row r="20" spans="1:13">
      <c r="C20" s="5"/>
      <c r="D20" s="6"/>
      <c r="E20" s="2"/>
      <c r="F20" s="2"/>
      <c r="G20" s="2"/>
      <c r="J20" s="83" t="s">
        <v>53</v>
      </c>
      <c r="K20" s="90"/>
      <c r="L20" s="90"/>
      <c r="M20" s="91"/>
    </row>
    <row r="21" spans="1:13" ht="15">
      <c r="J21" s="83" t="s">
        <v>77</v>
      </c>
      <c r="K21" s="92">
        <f>F85</f>
        <v>4038.57</v>
      </c>
      <c r="L21" s="92">
        <f>F86</f>
        <v>4038.57</v>
      </c>
      <c r="M21" s="93">
        <f>F87</f>
        <v>2692.38</v>
      </c>
    </row>
    <row r="22" spans="1:13">
      <c r="A22" s="106" t="s">
        <v>252</v>
      </c>
      <c r="B22" s="107"/>
      <c r="C22" s="105"/>
      <c r="D22" s="105"/>
      <c r="E22" s="105"/>
      <c r="F22" s="105"/>
      <c r="G22" s="105"/>
      <c r="H22" s="105"/>
      <c r="J22" s="76"/>
      <c r="K22" s="90"/>
      <c r="L22" s="90"/>
      <c r="M22" s="91"/>
    </row>
    <row r="23" spans="1:13">
      <c r="C23" s="7" t="s">
        <v>0</v>
      </c>
      <c r="D23" s="7" t="s">
        <v>4</v>
      </c>
      <c r="E23" s="7" t="s">
        <v>1</v>
      </c>
      <c r="F23" s="7" t="s">
        <v>2</v>
      </c>
      <c r="G23" s="7" t="s">
        <v>3</v>
      </c>
      <c r="J23" s="84" t="s">
        <v>55</v>
      </c>
      <c r="K23" s="94">
        <f>SUM(K17:K22)</f>
        <v>12456.80754789272</v>
      </c>
      <c r="L23" s="94">
        <f>SUM(L17:L22)</f>
        <v>12456.80754789272</v>
      </c>
      <c r="M23" s="95">
        <f>SUM(M17:M21)</f>
        <v>8275.9049042145598</v>
      </c>
    </row>
    <row r="24" spans="1:13">
      <c r="C24" s="5">
        <v>1</v>
      </c>
      <c r="D24" s="6">
        <v>80</v>
      </c>
      <c r="E24" s="2">
        <v>45450</v>
      </c>
      <c r="F24" s="2">
        <f t="shared" ref="F24:F29" si="2">SUM(E24/26.1)</f>
        <v>1741.3793103448274</v>
      </c>
      <c r="G24" s="2">
        <f t="shared" ref="G24:G29" si="3">SUM(F24)/D24</f>
        <v>21.767241379310342</v>
      </c>
      <c r="J24" s="76"/>
      <c r="K24" s="90"/>
      <c r="L24" s="90"/>
      <c r="M24" s="91"/>
    </row>
    <row r="25" spans="1:13" ht="27.75" customHeight="1">
      <c r="C25" s="5">
        <v>0.5</v>
      </c>
      <c r="D25" s="6">
        <v>40</v>
      </c>
      <c r="E25" s="2">
        <v>22725</v>
      </c>
      <c r="F25" s="2">
        <f t="shared" si="2"/>
        <v>870.68965517241372</v>
      </c>
      <c r="G25" s="2">
        <f t="shared" si="3"/>
        <v>21.767241379310342</v>
      </c>
      <c r="J25" s="85" t="s">
        <v>57</v>
      </c>
      <c r="K25" s="96"/>
      <c r="L25" s="96">
        <f>SUM(K23:M23)</f>
        <v>33189.520000000004</v>
      </c>
      <c r="M25" s="97"/>
    </row>
    <row r="26" spans="1:13">
      <c r="A26" s="68" t="s">
        <v>219</v>
      </c>
      <c r="B26" s="69"/>
      <c r="C26" s="70">
        <v>0.44</v>
      </c>
      <c r="D26" s="71">
        <v>35.200000000000003</v>
      </c>
      <c r="E26" s="72">
        <v>20000</v>
      </c>
      <c r="F26" s="72">
        <f t="shared" si="2"/>
        <v>766.28352490421457</v>
      </c>
      <c r="G26" s="72">
        <f t="shared" si="3"/>
        <v>21.769418321142457</v>
      </c>
      <c r="H26" s="69"/>
    </row>
    <row r="27" spans="1:13">
      <c r="A27" s="58"/>
      <c r="C27" s="5">
        <v>0.4</v>
      </c>
      <c r="D27" s="6">
        <v>32</v>
      </c>
      <c r="E27" s="2">
        <v>18185</v>
      </c>
      <c r="F27" s="2">
        <f t="shared" si="2"/>
        <v>696.74329501915702</v>
      </c>
      <c r="G27" s="2">
        <f t="shared" si="3"/>
        <v>21.773227969348657</v>
      </c>
    </row>
    <row r="28" spans="1:13" ht="15.75">
      <c r="A28" s="59"/>
      <c r="C28" s="5">
        <v>0.33</v>
      </c>
      <c r="D28" s="6">
        <v>26.4</v>
      </c>
      <c r="E28" s="2">
        <v>15000</v>
      </c>
      <c r="F28" s="2">
        <f t="shared" si="2"/>
        <v>574.71264367816093</v>
      </c>
      <c r="G28" s="2">
        <f t="shared" si="3"/>
        <v>21.76941832114246</v>
      </c>
      <c r="J28" s="43" t="s">
        <v>72</v>
      </c>
      <c r="M28" s="56" t="s">
        <v>256</v>
      </c>
    </row>
    <row r="29" spans="1:13" ht="38.25">
      <c r="C29" s="5">
        <v>0.25</v>
      </c>
      <c r="D29" s="6">
        <v>20</v>
      </c>
      <c r="E29" s="2">
        <v>11365</v>
      </c>
      <c r="F29" s="2">
        <f t="shared" si="2"/>
        <v>435.4406130268199</v>
      </c>
      <c r="G29" s="2">
        <f t="shared" si="3"/>
        <v>21.772030651340994</v>
      </c>
      <c r="J29" s="22" t="s">
        <v>74</v>
      </c>
      <c r="M29" s="108" t="s">
        <v>259</v>
      </c>
    </row>
    <row r="30" spans="1:13">
      <c r="J30" s="22" t="s">
        <v>73</v>
      </c>
    </row>
    <row r="31" spans="1:13">
      <c r="A31" s="173" t="s">
        <v>229</v>
      </c>
      <c r="B31" s="174"/>
      <c r="C31" s="174"/>
      <c r="D31" s="174"/>
      <c r="E31" s="174"/>
      <c r="F31" s="174"/>
      <c r="G31" s="174"/>
      <c r="H31" s="174"/>
    </row>
    <row r="33" spans="1:19">
      <c r="K33" s="56" t="s">
        <v>212</v>
      </c>
      <c r="L33" s="56" t="s">
        <v>175</v>
      </c>
      <c r="M33" s="56" t="s">
        <v>158</v>
      </c>
    </row>
    <row r="34" spans="1:19">
      <c r="K34" s="56">
        <v>1138.94</v>
      </c>
      <c r="L34" s="56">
        <v>1138.94</v>
      </c>
      <c r="M34" s="56">
        <v>1138.94</v>
      </c>
    </row>
    <row r="35" spans="1:19">
      <c r="K35" s="56">
        <v>116.47</v>
      </c>
      <c r="L35" s="56">
        <v>116.47</v>
      </c>
      <c r="M35" s="56">
        <v>116.47</v>
      </c>
    </row>
    <row r="36" spans="1:19">
      <c r="K36" s="35">
        <f>SUM(K34:K35)</f>
        <v>1255.4100000000001</v>
      </c>
      <c r="L36" s="35">
        <f>SUM(L34:L35)</f>
        <v>1255.4100000000001</v>
      </c>
      <c r="M36" s="35">
        <f>SUM(M34:M35)</f>
        <v>1255.4100000000001</v>
      </c>
    </row>
    <row r="37" spans="1:19">
      <c r="K37" s="50"/>
    </row>
    <row r="38" spans="1:19">
      <c r="K38" s="56" t="s">
        <v>88</v>
      </c>
      <c r="L38" s="56" t="s">
        <v>115</v>
      </c>
      <c r="M38" s="56" t="s">
        <v>156</v>
      </c>
    </row>
    <row r="39" spans="1:19">
      <c r="K39" s="89">
        <v>1138.94</v>
      </c>
      <c r="L39" s="89">
        <v>1138.94</v>
      </c>
      <c r="M39" s="56">
        <v>1138.94</v>
      </c>
    </row>
    <row r="40" spans="1:19">
      <c r="K40" s="56">
        <v>112.53</v>
      </c>
      <c r="L40" s="56">
        <v>114.19</v>
      </c>
      <c r="M40" s="56">
        <v>114.19</v>
      </c>
    </row>
    <row r="41" spans="1:19">
      <c r="K41" s="100">
        <f>SUM(K39:K40)</f>
        <v>1251.47</v>
      </c>
      <c r="L41" s="35">
        <f>SUM(L39:L40)</f>
        <v>1253.1300000000001</v>
      </c>
      <c r="M41" s="35">
        <f>SUM(M39:M40)</f>
        <v>1253.1300000000001</v>
      </c>
    </row>
    <row r="43" spans="1:19" ht="18">
      <c r="J43" s="98" t="s">
        <v>238</v>
      </c>
    </row>
    <row r="44" spans="1:19" ht="18">
      <c r="A44" t="str">
        <f ca="1">CELL("filename")</f>
        <v>T:\WEC Finances\WEC FY25-26 Budget\[...GA Salary Tuition Costs.xlsx]2025-2026</v>
      </c>
      <c r="J44" s="99" t="s">
        <v>213</v>
      </c>
    </row>
    <row r="45" spans="1:19">
      <c r="S45" s="56"/>
    </row>
    <row r="46" spans="1:19">
      <c r="S46" s="56"/>
    </row>
    <row r="47" spans="1:19" ht="15.75">
      <c r="A47" s="17" t="s">
        <v>25</v>
      </c>
      <c r="B47" s="18"/>
      <c r="C47" s="18"/>
      <c r="D47" s="18"/>
      <c r="E47" s="18"/>
      <c r="F47" s="18"/>
      <c r="G47" s="18"/>
      <c r="H47" s="41"/>
    </row>
    <row r="48" spans="1:19">
      <c r="A48" s="23"/>
    </row>
    <row r="49" spans="2:8">
      <c r="B49" t="s">
        <v>12</v>
      </c>
    </row>
    <row r="50" spans="2:8">
      <c r="B50" t="s">
        <v>11</v>
      </c>
    </row>
    <row r="51" spans="2:8">
      <c r="B51" t="s">
        <v>8</v>
      </c>
    </row>
    <row r="52" spans="2:8">
      <c r="B52" t="s">
        <v>226</v>
      </c>
    </row>
    <row r="53" spans="2:8">
      <c r="B53" s="101" t="s">
        <v>239</v>
      </c>
      <c r="C53" s="101"/>
      <c r="D53" s="101"/>
      <c r="E53" s="101"/>
      <c r="F53" s="101"/>
      <c r="G53" s="101"/>
      <c r="H53" s="102"/>
    </row>
    <row r="54" spans="2:8">
      <c r="B54" s="101" t="s">
        <v>260</v>
      </c>
      <c r="C54" s="101"/>
      <c r="D54" s="101"/>
      <c r="E54" s="101"/>
      <c r="F54" s="101"/>
      <c r="G54" s="101"/>
      <c r="H54" s="102"/>
    </row>
    <row r="55" spans="2:8">
      <c r="B55" s="3"/>
      <c r="C55" s="3"/>
      <c r="D55" s="3"/>
      <c r="E55" s="3"/>
      <c r="F55" s="3"/>
      <c r="G55" s="3"/>
    </row>
    <row r="56" spans="2:8">
      <c r="B56" s="22" t="s">
        <v>240</v>
      </c>
      <c r="C56" s="22"/>
      <c r="D56" s="22"/>
      <c r="E56" s="3"/>
      <c r="F56" s="3"/>
      <c r="G56" s="3"/>
    </row>
    <row r="57" spans="2:8">
      <c r="B57" s="22" t="s">
        <v>241</v>
      </c>
      <c r="C57" s="22"/>
      <c r="D57" s="22"/>
      <c r="E57" s="3"/>
      <c r="F57" s="3"/>
      <c r="G57" s="3"/>
    </row>
    <row r="58" spans="2:8">
      <c r="B58" s="22" t="s">
        <v>242</v>
      </c>
      <c r="C58" s="22"/>
      <c r="D58" s="22"/>
      <c r="E58" s="3"/>
      <c r="F58" s="3"/>
      <c r="G58" s="3"/>
    </row>
    <row r="59" spans="2:8">
      <c r="B59" s="22" t="s">
        <v>243</v>
      </c>
      <c r="C59" s="22"/>
      <c r="D59" s="22"/>
      <c r="E59" s="3"/>
      <c r="F59" s="3"/>
      <c r="G59" s="3"/>
    </row>
    <row r="60" spans="2:8">
      <c r="B60" s="22" t="s">
        <v>244</v>
      </c>
      <c r="C60" s="22"/>
      <c r="D60" s="22"/>
      <c r="E60" s="3"/>
      <c r="F60" s="3"/>
      <c r="G60" s="3"/>
    </row>
    <row r="61" spans="2:8">
      <c r="B61" s="22" t="s">
        <v>245</v>
      </c>
      <c r="C61" s="22"/>
      <c r="D61" s="22"/>
      <c r="E61" s="3"/>
      <c r="F61" s="3"/>
      <c r="G61" s="3"/>
    </row>
    <row r="62" spans="2:8">
      <c r="B62" s="22" t="s">
        <v>246</v>
      </c>
      <c r="C62" s="22"/>
      <c r="D62" s="22"/>
      <c r="E62" s="3"/>
      <c r="F62" s="3"/>
      <c r="G62" s="3"/>
    </row>
    <row r="63" spans="2:8">
      <c r="B63" s="22" t="s">
        <v>247</v>
      </c>
      <c r="C63" s="22"/>
      <c r="D63" s="22"/>
      <c r="E63" s="3"/>
      <c r="F63" s="3"/>
      <c r="G63" s="3"/>
    </row>
    <row r="64" spans="2:8">
      <c r="B64" s="22" t="s">
        <v>248</v>
      </c>
      <c r="C64" s="22"/>
      <c r="D64" s="22"/>
      <c r="E64" s="3"/>
      <c r="F64" s="3"/>
      <c r="G64" s="3"/>
    </row>
    <row r="65" spans="2:7">
      <c r="B65" s="22" t="s">
        <v>249</v>
      </c>
      <c r="C65" s="22"/>
      <c r="D65" s="22"/>
      <c r="E65" s="3"/>
      <c r="F65" s="3"/>
      <c r="G65" s="3"/>
    </row>
    <row r="66" spans="2:7">
      <c r="B66" s="22" t="s">
        <v>250</v>
      </c>
      <c r="C66" s="22"/>
      <c r="D66" s="22"/>
      <c r="E66" s="3"/>
      <c r="F66" s="4"/>
    </row>
    <row r="67" spans="2:7" ht="13.5" thickBot="1">
      <c r="D67" s="3"/>
      <c r="E67" s="3"/>
      <c r="F67" s="4"/>
    </row>
    <row r="68" spans="2:7" ht="23.25" thickBot="1">
      <c r="B68" s="109" t="s">
        <v>261</v>
      </c>
      <c r="C68" s="110" t="s">
        <v>262</v>
      </c>
      <c r="D68" s="110" t="s">
        <v>263</v>
      </c>
      <c r="E68" s="110" t="s">
        <v>264</v>
      </c>
      <c r="F68" s="110" t="s">
        <v>265</v>
      </c>
      <c r="G68" s="110" t="s">
        <v>266</v>
      </c>
    </row>
    <row r="69" spans="2:7" ht="13.5" thickBot="1">
      <c r="B69" s="111" t="s">
        <v>191</v>
      </c>
      <c r="C69" s="112" t="s">
        <v>267</v>
      </c>
      <c r="D69" s="112" t="s">
        <v>268</v>
      </c>
      <c r="E69" s="112" t="s">
        <v>268</v>
      </c>
      <c r="F69" s="112" t="s">
        <v>269</v>
      </c>
      <c r="G69" s="113">
        <v>0.1</v>
      </c>
    </row>
    <row r="70" spans="2:7" ht="13.5" thickBot="1">
      <c r="B70" s="111" t="s">
        <v>215</v>
      </c>
      <c r="C70" s="112" t="s">
        <v>270</v>
      </c>
      <c r="D70" s="112" t="s">
        <v>271</v>
      </c>
      <c r="E70" s="112" t="s">
        <v>271</v>
      </c>
      <c r="F70" s="112" t="s">
        <v>272</v>
      </c>
      <c r="G70" s="113">
        <v>0.1</v>
      </c>
    </row>
    <row r="71" spans="2:7" ht="13.5" thickBot="1">
      <c r="B71" s="111" t="s">
        <v>273</v>
      </c>
      <c r="C71" s="112" t="s">
        <v>274</v>
      </c>
      <c r="D71" s="112" t="s">
        <v>275</v>
      </c>
      <c r="E71" s="112" t="s">
        <v>275</v>
      </c>
      <c r="F71" s="112" t="s">
        <v>276</v>
      </c>
      <c r="G71" s="113">
        <v>0.1</v>
      </c>
    </row>
    <row r="72" spans="2:7" ht="13.5" thickBot="1">
      <c r="B72" s="111" t="s">
        <v>277</v>
      </c>
      <c r="C72" s="112" t="s">
        <v>278</v>
      </c>
      <c r="D72" s="112" t="s">
        <v>279</v>
      </c>
      <c r="E72" s="112" t="s">
        <v>279</v>
      </c>
      <c r="F72" s="112" t="s">
        <v>280</v>
      </c>
      <c r="G72" s="113">
        <v>0.1</v>
      </c>
    </row>
    <row r="73" spans="2:7" ht="13.5" thickBot="1">
      <c r="B73" s="111" t="s">
        <v>281</v>
      </c>
      <c r="C73" s="112" t="s">
        <v>282</v>
      </c>
      <c r="D73" s="112" t="s">
        <v>283</v>
      </c>
      <c r="E73" s="112" t="s">
        <v>283</v>
      </c>
      <c r="F73" s="112" t="s">
        <v>284</v>
      </c>
      <c r="G73" s="113">
        <v>0.1</v>
      </c>
    </row>
    <row r="74" spans="2:7" ht="13.5" thickBot="1">
      <c r="B74" s="111" t="s">
        <v>285</v>
      </c>
      <c r="C74" s="112" t="s">
        <v>286</v>
      </c>
      <c r="D74" s="112" t="s">
        <v>287</v>
      </c>
      <c r="E74" s="112" t="s">
        <v>287</v>
      </c>
      <c r="F74" s="112" t="s">
        <v>288</v>
      </c>
      <c r="G74" s="113">
        <v>0.1</v>
      </c>
    </row>
    <row r="75" spans="2:7" ht="13.5" thickBot="1">
      <c r="B75" s="111" t="s">
        <v>289</v>
      </c>
      <c r="C75" s="112" t="s">
        <v>290</v>
      </c>
      <c r="D75" s="112" t="s">
        <v>291</v>
      </c>
      <c r="E75" s="112" t="s">
        <v>291</v>
      </c>
      <c r="F75" s="112" t="s">
        <v>292</v>
      </c>
      <c r="G75" s="113">
        <v>0.05</v>
      </c>
    </row>
    <row r="77" spans="2:7" ht="15">
      <c r="B77" s="12" t="s">
        <v>294</v>
      </c>
      <c r="E77" s="2"/>
    </row>
    <row r="78" spans="2:7" ht="15">
      <c r="B78" s="12" t="s">
        <v>293</v>
      </c>
      <c r="E78" s="2"/>
    </row>
    <row r="79" spans="2:7">
      <c r="B79" s="1"/>
      <c r="C79" s="3" t="s">
        <v>17</v>
      </c>
      <c r="E79" s="4">
        <f>SUM(E80+E81)</f>
        <v>530.69000000000005</v>
      </c>
    </row>
    <row r="80" spans="2:7">
      <c r="B80" s="1"/>
      <c r="C80" s="3" t="s">
        <v>18</v>
      </c>
      <c r="E80" s="2">
        <v>448.73</v>
      </c>
      <c r="F80" s="2" t="s">
        <v>24</v>
      </c>
    </row>
    <row r="81" spans="2:7">
      <c r="C81" s="3" t="s">
        <v>19</v>
      </c>
      <c r="E81" s="2">
        <v>81.96</v>
      </c>
      <c r="F81" s="55" t="s">
        <v>114</v>
      </c>
    </row>
    <row r="82" spans="2:7">
      <c r="D82" s="3"/>
      <c r="E82" s="2"/>
      <c r="F82" s="2"/>
    </row>
    <row r="83" spans="2:7">
      <c r="D83" s="3"/>
      <c r="F83" s="2"/>
    </row>
    <row r="84" spans="2:7" ht="15">
      <c r="B84" s="12" t="s">
        <v>22</v>
      </c>
      <c r="D84" s="1"/>
      <c r="G84" s="2"/>
    </row>
    <row r="85" spans="2:7">
      <c r="C85" s="22" t="s">
        <v>198</v>
      </c>
      <c r="F85" s="2">
        <f>E80*9</f>
        <v>4038.57</v>
      </c>
    </row>
    <row r="86" spans="2:7">
      <c r="C86" s="22" t="s">
        <v>199</v>
      </c>
      <c r="F86" s="2">
        <f>E80*9</f>
        <v>4038.57</v>
      </c>
    </row>
    <row r="87" spans="2:7">
      <c r="C87" s="22" t="s">
        <v>200</v>
      </c>
      <c r="F87" s="14">
        <f>E80*6</f>
        <v>2692.38</v>
      </c>
    </row>
    <row r="88" spans="2:7" ht="15">
      <c r="C88" s="29" t="s">
        <v>37</v>
      </c>
      <c r="D88" s="29"/>
      <c r="E88" s="24"/>
      <c r="F88" s="30">
        <f>SUM(F85:F87)</f>
        <v>10769.52</v>
      </c>
    </row>
    <row r="89" spans="2:7">
      <c r="F89" s="2"/>
    </row>
    <row r="90" spans="2:7" ht="15">
      <c r="B90" s="12" t="s">
        <v>23</v>
      </c>
    </row>
    <row r="91" spans="2:7">
      <c r="C91" s="22" t="s">
        <v>201</v>
      </c>
      <c r="F91" s="2">
        <f>E81*9</f>
        <v>737.64</v>
      </c>
    </row>
    <row r="92" spans="2:7">
      <c r="C92" s="22" t="s">
        <v>202</v>
      </c>
      <c r="F92" s="2">
        <f>E81*9</f>
        <v>737.64</v>
      </c>
    </row>
    <row r="93" spans="2:7">
      <c r="C93" s="22" t="s">
        <v>203</v>
      </c>
      <c r="F93" s="14">
        <f>E81*6</f>
        <v>491.76</v>
      </c>
    </row>
    <row r="94" spans="2:7" ht="15">
      <c r="C94" s="12" t="s">
        <v>38</v>
      </c>
      <c r="F94" s="13">
        <f>SUM(F91:F93)</f>
        <v>1967.04</v>
      </c>
    </row>
    <row r="95" spans="2:7" ht="15">
      <c r="C95" s="12"/>
      <c r="F95" s="13"/>
    </row>
    <row r="96" spans="2:7" ht="15">
      <c r="B96" s="26" t="s">
        <v>76</v>
      </c>
      <c r="C96" s="12"/>
      <c r="F96" s="13"/>
    </row>
    <row r="100" spans="1:8" ht="15.75">
      <c r="A100" s="10" t="s">
        <v>5</v>
      </c>
      <c r="B100" s="11"/>
      <c r="C100" s="11"/>
      <c r="D100" s="11"/>
      <c r="E100" s="11"/>
      <c r="F100" s="11"/>
      <c r="G100" s="11"/>
      <c r="H100" s="11"/>
    </row>
    <row r="101" spans="1:8" ht="15.75">
      <c r="A101" s="103"/>
      <c r="B101" s="104"/>
      <c r="C101" s="104"/>
      <c r="D101" s="104"/>
      <c r="E101" s="104"/>
      <c r="F101" s="104"/>
      <c r="G101" s="104"/>
      <c r="H101" s="104"/>
    </row>
    <row r="102" spans="1:8" ht="15.75">
      <c r="A102" s="15"/>
      <c r="B102" s="22" t="s">
        <v>230</v>
      </c>
    </row>
    <row r="103" spans="1:8" ht="15.75">
      <c r="A103" s="25"/>
      <c r="B103" s="27" t="s">
        <v>29</v>
      </c>
    </row>
    <row r="104" spans="1:8" ht="15.75">
      <c r="A104" s="15"/>
      <c r="B104" s="22" t="s">
        <v>231</v>
      </c>
      <c r="C104" s="26"/>
      <c r="D104" s="24"/>
      <c r="E104" s="24"/>
      <c r="F104" s="24"/>
      <c r="G104" s="24"/>
    </row>
    <row r="105" spans="1:8" ht="15.75">
      <c r="A105" s="15"/>
      <c r="B105" s="22" t="s">
        <v>232</v>
      </c>
      <c r="C105" s="26"/>
      <c r="D105" s="24"/>
      <c r="E105" s="24"/>
      <c r="F105" s="24"/>
      <c r="G105" s="24"/>
    </row>
    <row r="106" spans="1:8" ht="15.75">
      <c r="A106" s="15"/>
      <c r="B106" s="22" t="s">
        <v>233</v>
      </c>
      <c r="C106" s="26"/>
      <c r="D106" s="24"/>
      <c r="E106" s="24"/>
      <c r="F106" s="24"/>
      <c r="G106" s="24"/>
    </row>
    <row r="107" spans="1:8" ht="15.75">
      <c r="A107" s="15"/>
      <c r="B107" s="22" t="s">
        <v>234</v>
      </c>
      <c r="C107" s="26"/>
      <c r="D107" s="24"/>
      <c r="E107" s="24"/>
      <c r="F107" s="24"/>
      <c r="G107" s="24"/>
    </row>
    <row r="108" spans="1:8" ht="15.75">
      <c r="A108" s="15"/>
      <c r="B108" s="22" t="s">
        <v>235</v>
      </c>
      <c r="C108" s="3"/>
    </row>
    <row r="110" spans="1:8" ht="15">
      <c r="B110" s="27" t="s">
        <v>31</v>
      </c>
    </row>
    <row r="112" spans="1:8">
      <c r="C112" s="22" t="s">
        <v>136</v>
      </c>
    </row>
    <row r="113" spans="2:5">
      <c r="C113" s="3" t="s">
        <v>236</v>
      </c>
      <c r="E113" s="2">
        <v>1998.92</v>
      </c>
    </row>
    <row r="116" spans="2:5">
      <c r="C116" s="2">
        <v>16520</v>
      </c>
      <c r="D116" s="22" t="s">
        <v>33</v>
      </c>
    </row>
    <row r="117" spans="2:5">
      <c r="C117" s="28">
        <v>1998.92</v>
      </c>
      <c r="D117" s="22" t="s">
        <v>34</v>
      </c>
    </row>
    <row r="118" spans="2:5">
      <c r="C118" s="4">
        <f>SUM(C116:C117)</f>
        <v>18518.919999999998</v>
      </c>
      <c r="D118" s="22" t="s">
        <v>35</v>
      </c>
    </row>
    <row r="120" spans="2:5">
      <c r="B120" s="22" t="s">
        <v>237</v>
      </c>
    </row>
  </sheetData>
  <mergeCells count="4">
    <mergeCell ref="A31:H31"/>
    <mergeCell ref="A1:H1"/>
    <mergeCell ref="A2:H2"/>
    <mergeCell ref="A3:H3"/>
  </mergeCells>
  <hyperlinks>
    <hyperlink ref="J44" r:id="rId1" xr:uid="{00000000-0004-0000-0400-000000000000}"/>
  </hyperlinks>
  <pageMargins left="0.7" right="0.7" top="0.75" bottom="0.75" header="0.3" footer="0.3"/>
  <pageSetup orientation="portrait" horizontalDpi="1200" verticalDpi="1200" r:id="rId2"/>
  <headerFooter>
    <oddHeader>&amp;RCost of Attendance
http://www.sfa.ufl.edu/cost/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5"/>
  <sheetViews>
    <sheetView zoomScaleNormal="100" workbookViewId="0">
      <selection activeCell="K30" sqref="K30"/>
    </sheetView>
  </sheetViews>
  <sheetFormatPr defaultRowHeight="12.75"/>
  <cols>
    <col min="1" max="1" width="11.42578125" bestFit="1" customWidth="1"/>
    <col min="3" max="3" width="11.140625" customWidth="1"/>
    <col min="4" max="4" width="17.42578125" customWidth="1"/>
    <col min="5" max="5" width="12.5703125" customWidth="1"/>
    <col min="6" max="6" width="11.42578125" customWidth="1"/>
    <col min="9" max="9" width="2.85546875" customWidth="1"/>
    <col min="10" max="10" width="37.7109375" customWidth="1"/>
    <col min="11" max="13" width="16.7109375" customWidth="1"/>
  </cols>
  <sheetData>
    <row r="1" spans="1:13" ht="20.25" customHeight="1">
      <c r="A1" s="169" t="s">
        <v>15</v>
      </c>
      <c r="B1" s="169"/>
      <c r="C1" s="169"/>
      <c r="D1" s="169"/>
      <c r="E1" s="169"/>
      <c r="F1" s="169"/>
      <c r="G1" s="169"/>
      <c r="H1" s="169"/>
    </row>
    <row r="2" spans="1:13" ht="20.25" customHeight="1">
      <c r="A2" s="170" t="s">
        <v>13</v>
      </c>
      <c r="B2" s="170"/>
      <c r="C2" s="170"/>
      <c r="D2" s="170"/>
      <c r="E2" s="170"/>
      <c r="F2" s="170"/>
      <c r="G2" s="170"/>
      <c r="H2" s="170"/>
    </row>
    <row r="3" spans="1:13" ht="18" customHeight="1">
      <c r="A3" s="170" t="s">
        <v>14</v>
      </c>
      <c r="B3" s="170"/>
      <c r="C3" s="170"/>
      <c r="D3" s="170"/>
      <c r="E3" s="170"/>
      <c r="F3" s="170"/>
      <c r="G3" s="170"/>
      <c r="H3" s="170"/>
    </row>
    <row r="4" spans="1:13" ht="18">
      <c r="A4" s="21" t="s">
        <v>190</v>
      </c>
    </row>
    <row r="5" spans="1:13" ht="15">
      <c r="J5" s="27" t="s">
        <v>194</v>
      </c>
    </row>
    <row r="6" spans="1:13">
      <c r="A6" s="3" t="s">
        <v>211</v>
      </c>
    </row>
    <row r="7" spans="1:13" ht="15.75">
      <c r="J7" s="15" t="s">
        <v>108</v>
      </c>
      <c r="K7" s="35" t="s">
        <v>191</v>
      </c>
      <c r="L7" s="35" t="s">
        <v>192</v>
      </c>
      <c r="M7" s="35" t="s">
        <v>193</v>
      </c>
    </row>
    <row r="8" spans="1:13" ht="15.75">
      <c r="A8" s="9" t="s">
        <v>26</v>
      </c>
      <c r="B8" s="8"/>
      <c r="C8" s="8"/>
      <c r="D8" s="8"/>
      <c r="J8" s="60" t="s">
        <v>137</v>
      </c>
      <c r="K8" s="40" t="s">
        <v>195</v>
      </c>
      <c r="L8" s="40" t="s">
        <v>196</v>
      </c>
      <c r="M8" s="40" t="s">
        <v>197</v>
      </c>
    </row>
    <row r="9" spans="1:13" ht="15.75">
      <c r="A9" s="15"/>
      <c r="J9" s="22" t="s">
        <v>111</v>
      </c>
      <c r="K9" s="31">
        <v>7215.62</v>
      </c>
      <c r="L9" s="31">
        <v>6996.98</v>
      </c>
      <c r="M9" s="2">
        <v>4810.42</v>
      </c>
    </row>
    <row r="10" spans="1:13">
      <c r="B10" t="s">
        <v>71</v>
      </c>
      <c r="J10" s="22" t="s">
        <v>210</v>
      </c>
      <c r="K10" s="31">
        <f>K9*0.117</f>
        <v>844.22754000000009</v>
      </c>
      <c r="L10" s="31">
        <f>L9*0.117</f>
        <v>818.64666</v>
      </c>
      <c r="M10" s="2">
        <f>M9*0.117</f>
        <v>562.81914000000006</v>
      </c>
    </row>
    <row r="11" spans="1:13">
      <c r="B11" t="s">
        <v>70</v>
      </c>
      <c r="K11" s="31"/>
      <c r="L11" s="31"/>
      <c r="M11" s="2"/>
    </row>
    <row r="12" spans="1:13">
      <c r="J12" s="22" t="s">
        <v>53</v>
      </c>
      <c r="K12" s="31"/>
      <c r="L12" s="31"/>
      <c r="M12" s="2"/>
    </row>
    <row r="13" spans="1:13" ht="15">
      <c r="C13" s="16" t="s">
        <v>27</v>
      </c>
      <c r="D13" s="19"/>
      <c r="J13" s="22" t="s">
        <v>77</v>
      </c>
      <c r="K13" s="42">
        <f>F43</f>
        <v>4038.57</v>
      </c>
      <c r="L13" s="42">
        <f>F44</f>
        <v>4038.57</v>
      </c>
      <c r="M13" s="14">
        <f>F45</f>
        <v>2692.38</v>
      </c>
    </row>
    <row r="14" spans="1:13">
      <c r="C14" s="7" t="s">
        <v>0</v>
      </c>
      <c r="D14" s="7" t="s">
        <v>4</v>
      </c>
      <c r="E14" s="7" t="s">
        <v>1</v>
      </c>
      <c r="F14" s="7" t="s">
        <v>2</v>
      </c>
      <c r="G14" s="7" t="s">
        <v>3</v>
      </c>
      <c r="K14" s="31"/>
      <c r="M14" s="2"/>
    </row>
    <row r="15" spans="1:13">
      <c r="C15" s="5">
        <v>1</v>
      </c>
      <c r="D15" s="6">
        <v>80</v>
      </c>
      <c r="E15" s="2">
        <v>50059.07</v>
      </c>
      <c r="F15" s="2">
        <v>1917.97</v>
      </c>
      <c r="G15" s="2">
        <v>23.98</v>
      </c>
      <c r="J15" s="33" t="s">
        <v>55</v>
      </c>
      <c r="K15" s="34">
        <f>SUM(K9:K14)</f>
        <v>12098.41754</v>
      </c>
      <c r="L15" s="34">
        <f>SUM(L9:L14)</f>
        <v>11854.19666</v>
      </c>
      <c r="M15" s="4">
        <f>SUM(M9:M13)</f>
        <v>8065.6191399999998</v>
      </c>
    </row>
    <row r="16" spans="1:13">
      <c r="C16" s="5">
        <v>0.5</v>
      </c>
      <c r="D16" s="6">
        <v>40</v>
      </c>
      <c r="E16" s="2">
        <v>25029.53</v>
      </c>
      <c r="F16" s="2">
        <v>958.99</v>
      </c>
      <c r="G16" s="2">
        <v>23.98</v>
      </c>
      <c r="K16" s="31"/>
    </row>
    <row r="17" spans="1:13" ht="15.75">
      <c r="A17" s="58" t="s">
        <v>132</v>
      </c>
      <c r="C17" s="5">
        <v>0.4</v>
      </c>
      <c r="D17" s="6">
        <v>32</v>
      </c>
      <c r="E17" s="2">
        <v>20024.240000000002</v>
      </c>
      <c r="F17" s="2">
        <v>767.21</v>
      </c>
      <c r="G17" s="2">
        <v>23.98</v>
      </c>
      <c r="J17" s="37" t="s">
        <v>57</v>
      </c>
      <c r="K17" s="38"/>
      <c r="L17" s="39">
        <f>SUM(K15:M15)</f>
        <v>32018.233339999999</v>
      </c>
    </row>
    <row r="18" spans="1:13">
      <c r="A18" s="58" t="s">
        <v>133</v>
      </c>
      <c r="C18" s="5">
        <v>0.38</v>
      </c>
      <c r="D18" s="6">
        <v>30.4</v>
      </c>
      <c r="E18" s="2">
        <v>19023.03</v>
      </c>
      <c r="F18" s="2">
        <v>728.85</v>
      </c>
      <c r="G18" s="2">
        <v>23.98</v>
      </c>
      <c r="K18" s="31"/>
    </row>
    <row r="19" spans="1:13">
      <c r="A19" s="59" t="s">
        <v>134</v>
      </c>
      <c r="C19" s="5">
        <v>0.33</v>
      </c>
      <c r="D19" s="6">
        <v>26.4</v>
      </c>
      <c r="E19" s="2">
        <v>16520</v>
      </c>
      <c r="F19" s="2">
        <v>632.95000000000005</v>
      </c>
      <c r="G19" s="2">
        <v>23.98</v>
      </c>
    </row>
    <row r="20" spans="1:13" ht="15.75">
      <c r="C20" s="5">
        <v>0.25</v>
      </c>
      <c r="D20" s="6">
        <v>20</v>
      </c>
      <c r="E20" s="2">
        <v>12514.77</v>
      </c>
      <c r="F20" s="2">
        <v>479.49</v>
      </c>
      <c r="G20" s="2">
        <v>23.98</v>
      </c>
      <c r="J20" s="15" t="s">
        <v>109</v>
      </c>
      <c r="K20" s="35" t="s">
        <v>191</v>
      </c>
      <c r="L20" s="35" t="s">
        <v>192</v>
      </c>
      <c r="M20" s="35" t="s">
        <v>193</v>
      </c>
    </row>
    <row r="21" spans="1:13">
      <c r="C21" s="5"/>
      <c r="D21" s="6"/>
      <c r="E21" s="2"/>
      <c r="F21" s="2"/>
      <c r="G21" s="2"/>
      <c r="J21" s="60" t="s">
        <v>141</v>
      </c>
      <c r="K21" s="40" t="s">
        <v>195</v>
      </c>
      <c r="L21" s="40" t="s">
        <v>196</v>
      </c>
      <c r="M21" s="40" t="s">
        <v>197</v>
      </c>
    </row>
    <row r="22" spans="1:13">
      <c r="C22" s="5"/>
      <c r="D22" s="6"/>
      <c r="E22" s="2"/>
      <c r="F22" s="2"/>
      <c r="G22" s="2"/>
      <c r="J22" s="22" t="s">
        <v>112</v>
      </c>
      <c r="K22" s="31">
        <v>7595.4</v>
      </c>
      <c r="L22" s="31">
        <v>7365.24</v>
      </c>
      <c r="M22" s="2">
        <v>5063.6000000000004</v>
      </c>
    </row>
    <row r="23" spans="1:13">
      <c r="B23" s="5"/>
      <c r="C23" s="6"/>
      <c r="G23" s="2"/>
      <c r="J23" s="22" t="s">
        <v>210</v>
      </c>
      <c r="K23" s="31">
        <f>K22*0.117</f>
        <v>888.66179999999997</v>
      </c>
      <c r="L23" s="31">
        <f>L22*0.117</f>
        <v>861.73307999999997</v>
      </c>
      <c r="M23" s="2">
        <f>M22*0.117</f>
        <v>592.44120000000009</v>
      </c>
    </row>
    <row r="24" spans="1:13">
      <c r="A24" s="20" t="s">
        <v>151</v>
      </c>
      <c r="K24" s="31"/>
      <c r="L24" s="31"/>
      <c r="M24" s="2"/>
    </row>
    <row r="25" spans="1:13">
      <c r="J25" s="22" t="s">
        <v>53</v>
      </c>
      <c r="K25" s="31"/>
      <c r="L25" s="31"/>
      <c r="M25" s="2"/>
    </row>
    <row r="26" spans="1:13" ht="17.25">
      <c r="A26" s="17" t="s">
        <v>25</v>
      </c>
      <c r="B26" s="18"/>
      <c r="C26" s="18"/>
      <c r="D26" s="18"/>
      <c r="E26" s="18"/>
      <c r="F26" s="18"/>
      <c r="G26" s="18"/>
      <c r="H26" s="41"/>
      <c r="J26" s="22" t="s">
        <v>77</v>
      </c>
      <c r="K26" s="42">
        <f>F43</f>
        <v>4038.57</v>
      </c>
      <c r="L26" s="42">
        <f>F44</f>
        <v>4038.57</v>
      </c>
      <c r="M26" s="14">
        <f>F45</f>
        <v>2692.38</v>
      </c>
    </row>
    <row r="27" spans="1:13">
      <c r="A27" s="23"/>
      <c r="K27" s="31"/>
      <c r="M27" s="2"/>
    </row>
    <row r="28" spans="1:13">
      <c r="B28" t="s">
        <v>12</v>
      </c>
      <c r="J28" s="33" t="s">
        <v>55</v>
      </c>
      <c r="K28" s="34">
        <f>SUM(K22:K27)</f>
        <v>12522.631799999999</v>
      </c>
      <c r="L28" s="34">
        <f>SUM(L22:L27)</f>
        <v>12265.543079999999</v>
      </c>
      <c r="M28" s="4">
        <f>SUM(M22:M26)</f>
        <v>8348.4212000000007</v>
      </c>
    </row>
    <row r="29" spans="1:13">
      <c r="B29" t="s">
        <v>11</v>
      </c>
      <c r="K29" s="31"/>
    </row>
    <row r="30" spans="1:13" ht="15.75">
      <c r="B30" t="s">
        <v>8</v>
      </c>
      <c r="J30" s="37" t="s">
        <v>57</v>
      </c>
      <c r="K30" s="38"/>
      <c r="L30" s="39">
        <f>SUM(K28:M28)</f>
        <v>33136.596080000003</v>
      </c>
    </row>
    <row r="31" spans="1:13">
      <c r="B31" t="s">
        <v>16</v>
      </c>
    </row>
    <row r="32" spans="1:13">
      <c r="B32" t="s">
        <v>21</v>
      </c>
    </row>
    <row r="33" spans="2:16">
      <c r="J33" s="54"/>
    </row>
    <row r="34" spans="2:16">
      <c r="D34" s="3"/>
      <c r="E34" s="3"/>
      <c r="F34" s="4"/>
    </row>
    <row r="35" spans="2:16" ht="15">
      <c r="B35" s="12" t="s">
        <v>28</v>
      </c>
      <c r="E35" s="2"/>
    </row>
    <row r="36" spans="2:16" ht="15">
      <c r="B36" s="12" t="s">
        <v>135</v>
      </c>
      <c r="E36" s="2"/>
    </row>
    <row r="37" spans="2:16">
      <c r="B37" s="1"/>
      <c r="C37" s="3" t="s">
        <v>17</v>
      </c>
      <c r="E37" s="4">
        <f>SUM(E38+E39)</f>
        <v>530.69000000000005</v>
      </c>
    </row>
    <row r="38" spans="2:16">
      <c r="B38" s="1"/>
      <c r="C38" s="3" t="s">
        <v>18</v>
      </c>
      <c r="E38" s="2">
        <v>448.73</v>
      </c>
      <c r="F38" s="2" t="s">
        <v>24</v>
      </c>
      <c r="M38" s="56"/>
    </row>
    <row r="39" spans="2:16" ht="15.75">
      <c r="C39" s="3" t="s">
        <v>19</v>
      </c>
      <c r="E39" s="2">
        <v>81.96</v>
      </c>
      <c r="F39" s="55" t="s">
        <v>114</v>
      </c>
      <c r="J39" s="43" t="s">
        <v>72</v>
      </c>
      <c r="K39" s="56" t="s">
        <v>88</v>
      </c>
      <c r="L39" s="56" t="s">
        <v>115</v>
      </c>
      <c r="M39" s="56" t="s">
        <v>156</v>
      </c>
      <c r="N39" s="56" t="s">
        <v>158</v>
      </c>
      <c r="O39" s="56" t="s">
        <v>175</v>
      </c>
      <c r="P39" s="56" t="s">
        <v>212</v>
      </c>
    </row>
    <row r="40" spans="2:16">
      <c r="D40" s="3"/>
      <c r="E40" s="2"/>
      <c r="F40" s="2"/>
      <c r="J40" s="22" t="s">
        <v>74</v>
      </c>
      <c r="K40">
        <v>1138.94</v>
      </c>
      <c r="L40">
        <v>1138.94</v>
      </c>
      <c r="M40" s="57">
        <v>1138.94</v>
      </c>
      <c r="N40" s="57">
        <v>1138.94</v>
      </c>
      <c r="O40" s="57">
        <v>1138.94</v>
      </c>
      <c r="P40" s="57">
        <v>1138.94</v>
      </c>
    </row>
    <row r="41" spans="2:16">
      <c r="D41" s="3"/>
      <c r="F41" s="2"/>
      <c r="J41" s="22" t="s">
        <v>73</v>
      </c>
      <c r="K41" s="57">
        <v>112.53</v>
      </c>
      <c r="L41" s="57">
        <v>114.19</v>
      </c>
      <c r="M41" s="57">
        <v>114.19</v>
      </c>
      <c r="N41" s="57">
        <v>116.47</v>
      </c>
      <c r="O41" s="57">
        <v>116.47</v>
      </c>
      <c r="P41" s="57">
        <v>116.47</v>
      </c>
    </row>
    <row r="42" spans="2:16" ht="15">
      <c r="B42" s="12" t="s">
        <v>22</v>
      </c>
      <c r="D42" s="1"/>
      <c r="G42" s="2"/>
      <c r="K42" s="22">
        <f t="shared" ref="K42:P42" si="0">SUM(K40:K41)</f>
        <v>1251.47</v>
      </c>
      <c r="L42" s="3">
        <f t="shared" si="0"/>
        <v>1253.1300000000001</v>
      </c>
      <c r="M42" s="3">
        <f t="shared" si="0"/>
        <v>1253.1300000000001</v>
      </c>
      <c r="N42" s="3">
        <f t="shared" si="0"/>
        <v>1255.4100000000001</v>
      </c>
      <c r="O42" s="3">
        <f t="shared" si="0"/>
        <v>1255.4100000000001</v>
      </c>
      <c r="P42" s="3">
        <f t="shared" si="0"/>
        <v>1255.4100000000001</v>
      </c>
    </row>
    <row r="43" spans="2:16">
      <c r="C43" s="22" t="s">
        <v>198</v>
      </c>
      <c r="F43" s="2">
        <f>E38*9</f>
        <v>4038.57</v>
      </c>
      <c r="K43" s="50"/>
    </row>
    <row r="44" spans="2:16">
      <c r="C44" s="22" t="s">
        <v>199</v>
      </c>
      <c r="F44" s="2">
        <f>E38*9</f>
        <v>4038.57</v>
      </c>
      <c r="J44" s="22"/>
    </row>
    <row r="45" spans="2:16">
      <c r="C45" s="22" t="s">
        <v>200</v>
      </c>
      <c r="F45" s="14">
        <f>E38*6</f>
        <v>2692.38</v>
      </c>
    </row>
    <row r="46" spans="2:16" ht="18">
      <c r="C46" s="29" t="s">
        <v>37</v>
      </c>
      <c r="D46" s="29"/>
      <c r="E46" s="24"/>
      <c r="F46" s="30">
        <f>SUM(F43:F45)</f>
        <v>10769.52</v>
      </c>
      <c r="K46" s="66" t="s">
        <v>214</v>
      </c>
      <c r="L46" s="67" t="s">
        <v>213</v>
      </c>
    </row>
    <row r="47" spans="2:16">
      <c r="F47" s="2"/>
      <c r="J47" s="26"/>
    </row>
    <row r="48" spans="2:16" ht="15">
      <c r="B48" s="12" t="s">
        <v>23</v>
      </c>
    </row>
    <row r="49" spans="1:8">
      <c r="C49" s="22" t="s">
        <v>201</v>
      </c>
      <c r="F49" s="2">
        <f>E39*9</f>
        <v>737.64</v>
      </c>
    </row>
    <row r="50" spans="1:8">
      <c r="C50" s="22" t="s">
        <v>202</v>
      </c>
      <c r="F50" s="2">
        <f>E39*9</f>
        <v>737.64</v>
      </c>
    </row>
    <row r="51" spans="1:8">
      <c r="C51" s="22" t="s">
        <v>203</v>
      </c>
      <c r="F51" s="14">
        <f>E39*6</f>
        <v>491.76</v>
      </c>
    </row>
    <row r="52" spans="1:8" ht="15">
      <c r="C52" s="12" t="s">
        <v>38</v>
      </c>
      <c r="F52" s="13">
        <f>SUM(F49:F51)</f>
        <v>1967.04</v>
      </c>
    </row>
    <row r="53" spans="1:8" ht="15">
      <c r="C53" s="12"/>
      <c r="F53" s="13"/>
    </row>
    <row r="54" spans="1:8" ht="15">
      <c r="B54" s="26" t="s">
        <v>76</v>
      </c>
      <c r="C54" s="12"/>
      <c r="F54" s="13"/>
    </row>
    <row r="55" spans="1:8" ht="15">
      <c r="B55" s="54"/>
      <c r="C55" s="12"/>
      <c r="F55" s="13"/>
    </row>
    <row r="58" spans="1:8" ht="15.75">
      <c r="A58" s="10" t="s">
        <v>5</v>
      </c>
      <c r="B58" s="11"/>
      <c r="C58" s="11"/>
      <c r="D58" s="11"/>
      <c r="E58" s="11"/>
      <c r="F58" s="11"/>
      <c r="G58" s="11"/>
      <c r="H58" s="11"/>
    </row>
    <row r="59" spans="1:8" ht="15.75">
      <c r="A59" s="15"/>
      <c r="B59" s="22" t="s">
        <v>204</v>
      </c>
    </row>
    <row r="60" spans="1:8" ht="15.75">
      <c r="A60" s="25"/>
      <c r="B60" s="27" t="s">
        <v>29</v>
      </c>
    </row>
    <row r="61" spans="1:8" ht="15.75">
      <c r="A61" s="15"/>
      <c r="B61" s="22" t="s">
        <v>205</v>
      </c>
      <c r="C61" s="26"/>
      <c r="D61" s="24"/>
      <c r="E61" s="24"/>
      <c r="F61" s="24"/>
      <c r="G61" s="24"/>
    </row>
    <row r="62" spans="1:8" ht="15.75">
      <c r="A62" s="15"/>
      <c r="B62" s="22" t="s">
        <v>206</v>
      </c>
      <c r="C62" s="26"/>
      <c r="D62" s="24"/>
      <c r="E62" s="24"/>
      <c r="F62" s="24"/>
      <c r="G62" s="24"/>
    </row>
    <row r="63" spans="1:8" ht="15.75">
      <c r="A63" s="15"/>
      <c r="B63" s="22" t="s">
        <v>207</v>
      </c>
      <c r="C63" s="26"/>
      <c r="D63" s="24"/>
      <c r="E63" s="24"/>
      <c r="F63" s="24"/>
      <c r="G63" s="24"/>
    </row>
    <row r="64" spans="1:8" ht="15.75">
      <c r="A64" s="15"/>
      <c r="B64" s="22" t="s">
        <v>69</v>
      </c>
      <c r="C64" s="26"/>
      <c r="D64" s="24"/>
      <c r="E64" s="24"/>
      <c r="F64" s="24"/>
      <c r="G64" s="24"/>
    </row>
    <row r="65" spans="1:5" ht="15.75">
      <c r="A65" s="15"/>
      <c r="B65" s="22"/>
      <c r="C65" s="3"/>
    </row>
    <row r="67" spans="1:5" ht="15">
      <c r="B67" s="27" t="s">
        <v>31</v>
      </c>
    </row>
    <row r="69" spans="1:5">
      <c r="C69" s="22" t="s">
        <v>136</v>
      </c>
    </row>
    <row r="70" spans="1:5">
      <c r="C70" s="3" t="s">
        <v>208</v>
      </c>
      <c r="E70" s="2">
        <f>16520*0.117</f>
        <v>1932.8400000000001</v>
      </c>
    </row>
    <row r="73" spans="1:5">
      <c r="C73" s="2">
        <v>16520</v>
      </c>
      <c r="D73" s="22" t="s">
        <v>33</v>
      </c>
    </row>
    <row r="74" spans="1:5">
      <c r="C74" s="28">
        <v>1932.84</v>
      </c>
      <c r="D74" s="22" t="s">
        <v>34</v>
      </c>
    </row>
    <row r="75" spans="1:5">
      <c r="C75" s="4">
        <f>SUM(C73:C74)</f>
        <v>18452.84</v>
      </c>
      <c r="D75" s="22" t="s">
        <v>35</v>
      </c>
    </row>
    <row r="77" spans="1:5">
      <c r="B77" s="22" t="s">
        <v>209</v>
      </c>
    </row>
    <row r="83" spans="2:3">
      <c r="B83" s="5"/>
      <c r="C83" s="6"/>
    </row>
    <row r="84" spans="2:3">
      <c r="B84" s="5"/>
      <c r="C84" s="5"/>
    </row>
    <row r="85" spans="2:3">
      <c r="B85" s="5"/>
      <c r="C85" s="5"/>
    </row>
  </sheetData>
  <sheetProtection password="8BA9" sheet="1"/>
  <mergeCells count="3">
    <mergeCell ref="A1:H1"/>
    <mergeCell ref="A2:H2"/>
    <mergeCell ref="A3:H3"/>
  </mergeCells>
  <hyperlinks>
    <hyperlink ref="L46" r:id="rId1" xr:uid="{00000000-0004-0000-0500-000000000000}"/>
  </hyperlinks>
  <pageMargins left="0.7" right="0.7" top="0.75" bottom="0.75" header="0.3" footer="0.3"/>
  <pageSetup orientation="portrait" r:id="rId2"/>
  <headerFooter>
    <oddHeader>&amp;RCost of Attendance
http://www.sfa.ufl.edu/cost/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85"/>
  <sheetViews>
    <sheetView topLeftCell="A22" workbookViewId="0">
      <selection activeCell="K30" sqref="K30"/>
    </sheetView>
  </sheetViews>
  <sheetFormatPr defaultRowHeight="12.75"/>
  <cols>
    <col min="1" max="1" width="11.42578125" bestFit="1" customWidth="1"/>
    <col min="3" max="3" width="11.140625" customWidth="1"/>
    <col min="4" max="4" width="17.42578125" customWidth="1"/>
    <col min="5" max="5" width="12.5703125" customWidth="1"/>
    <col min="6" max="6" width="11.42578125" customWidth="1"/>
    <col min="9" max="9" width="2.85546875" customWidth="1"/>
    <col min="10" max="10" width="37.7109375" customWidth="1"/>
    <col min="11" max="11" width="12.5703125" customWidth="1"/>
    <col min="12" max="12" width="13.85546875" customWidth="1"/>
    <col min="13" max="13" width="14.28515625" customWidth="1"/>
  </cols>
  <sheetData>
    <row r="1" spans="1:13" ht="20.25" customHeight="1">
      <c r="A1" s="169" t="s">
        <v>15</v>
      </c>
      <c r="B1" s="169"/>
      <c r="C1" s="169"/>
      <c r="D1" s="169"/>
      <c r="E1" s="169"/>
      <c r="F1" s="169"/>
      <c r="G1" s="169"/>
      <c r="H1" s="169"/>
    </row>
    <row r="2" spans="1:13" ht="20.25" customHeight="1">
      <c r="A2" s="170" t="s">
        <v>13</v>
      </c>
      <c r="B2" s="170"/>
      <c r="C2" s="170"/>
      <c r="D2" s="170"/>
      <c r="E2" s="170"/>
      <c r="F2" s="170"/>
      <c r="G2" s="170"/>
      <c r="H2" s="170"/>
    </row>
    <row r="3" spans="1:13" ht="18" customHeight="1">
      <c r="A3" s="170" t="s">
        <v>14</v>
      </c>
      <c r="B3" s="170"/>
      <c r="C3" s="170"/>
      <c r="D3" s="170"/>
      <c r="E3" s="170"/>
      <c r="F3" s="170"/>
      <c r="G3" s="170"/>
      <c r="H3" s="170"/>
    </row>
    <row r="4" spans="1:13" ht="18">
      <c r="A4" s="21" t="s">
        <v>166</v>
      </c>
    </row>
    <row r="5" spans="1:13" ht="15">
      <c r="J5" s="27" t="s">
        <v>176</v>
      </c>
    </row>
    <row r="6" spans="1:13">
      <c r="A6" s="3" t="s">
        <v>167</v>
      </c>
    </row>
    <row r="7" spans="1:13" ht="15.75">
      <c r="J7" s="15" t="s">
        <v>108</v>
      </c>
      <c r="K7" s="35" t="s">
        <v>168</v>
      </c>
      <c r="L7" s="35" t="s">
        <v>169</v>
      </c>
      <c r="M7" s="35" t="s">
        <v>170</v>
      </c>
    </row>
    <row r="8" spans="1:13" ht="15.75">
      <c r="A8" s="9" t="s">
        <v>26</v>
      </c>
      <c r="B8" s="8"/>
      <c r="C8" s="8"/>
      <c r="D8" s="8"/>
      <c r="J8" s="60" t="s">
        <v>137</v>
      </c>
      <c r="K8" s="40" t="s">
        <v>171</v>
      </c>
      <c r="L8" s="40" t="s">
        <v>172</v>
      </c>
      <c r="M8" s="40" t="s">
        <v>173</v>
      </c>
    </row>
    <row r="9" spans="1:13" ht="15.75">
      <c r="A9" s="15"/>
      <c r="J9" s="22" t="s">
        <v>111</v>
      </c>
      <c r="K9" s="31">
        <v>7215.62</v>
      </c>
      <c r="L9" s="31">
        <v>6996.98</v>
      </c>
      <c r="M9" s="2">
        <v>4810.42</v>
      </c>
    </row>
    <row r="10" spans="1:13">
      <c r="B10" t="s">
        <v>71</v>
      </c>
      <c r="J10" s="22" t="s">
        <v>174</v>
      </c>
      <c r="K10" s="31">
        <f>K9*0.102</f>
        <v>735.9932399999999</v>
      </c>
      <c r="L10" s="31">
        <f>L9*0.102</f>
        <v>713.69195999999988</v>
      </c>
      <c r="M10" s="2">
        <f>M9*0.102</f>
        <v>490.66283999999996</v>
      </c>
    </row>
    <row r="11" spans="1:13">
      <c r="B11" t="s">
        <v>70</v>
      </c>
      <c r="K11" s="31"/>
      <c r="L11" s="31"/>
      <c r="M11" s="2"/>
    </row>
    <row r="12" spans="1:13">
      <c r="J12" s="22" t="s">
        <v>53</v>
      </c>
      <c r="K12" s="31"/>
      <c r="L12" s="31"/>
      <c r="M12" s="2"/>
    </row>
    <row r="13" spans="1:13" ht="15">
      <c r="C13" s="16" t="s">
        <v>27</v>
      </c>
      <c r="D13" s="19"/>
      <c r="J13" s="22" t="s">
        <v>77</v>
      </c>
      <c r="K13" s="42">
        <f>F43</f>
        <v>4038.57</v>
      </c>
      <c r="L13" s="42">
        <f>F44</f>
        <v>4038.57</v>
      </c>
      <c r="M13" s="14">
        <f>F45</f>
        <v>2692.38</v>
      </c>
    </row>
    <row r="14" spans="1:13">
      <c r="C14" s="7" t="s">
        <v>0</v>
      </c>
      <c r="D14" s="7" t="s">
        <v>4</v>
      </c>
      <c r="E14" s="7" t="s">
        <v>1</v>
      </c>
      <c r="F14" s="7" t="s">
        <v>2</v>
      </c>
      <c r="G14" s="7" t="s">
        <v>3</v>
      </c>
      <c r="K14" s="31"/>
      <c r="M14" s="2"/>
    </row>
    <row r="15" spans="1:13">
      <c r="C15" s="5">
        <v>1</v>
      </c>
      <c r="D15" s="6">
        <v>80</v>
      </c>
      <c r="E15" s="2">
        <v>50059.07</v>
      </c>
      <c r="F15" s="2">
        <v>1917.97</v>
      </c>
      <c r="G15" s="2">
        <v>23.98</v>
      </c>
      <c r="J15" s="33" t="s">
        <v>55</v>
      </c>
      <c r="K15" s="34">
        <f>SUM(K9:K14)</f>
        <v>11990.18324</v>
      </c>
      <c r="L15" s="34">
        <f>SUM(L9:L14)</f>
        <v>11749.241959999999</v>
      </c>
      <c r="M15" s="4">
        <f>SUM(M9:M13)</f>
        <v>7993.4628400000001</v>
      </c>
    </row>
    <row r="16" spans="1:13">
      <c r="C16" s="5">
        <v>0.5</v>
      </c>
      <c r="D16" s="6">
        <v>40</v>
      </c>
      <c r="E16" s="2">
        <v>25029.53</v>
      </c>
      <c r="F16" s="2">
        <v>958.99</v>
      </c>
      <c r="G16" s="2">
        <v>23.98</v>
      </c>
      <c r="K16" s="31"/>
    </row>
    <row r="17" spans="1:13" ht="15.75">
      <c r="A17" s="58" t="s">
        <v>132</v>
      </c>
      <c r="C17" s="5">
        <v>0.4</v>
      </c>
      <c r="D17" s="6">
        <v>32</v>
      </c>
      <c r="E17" s="2">
        <v>20024.240000000002</v>
      </c>
      <c r="F17" s="2">
        <v>767.21</v>
      </c>
      <c r="G17" s="2">
        <v>23.98</v>
      </c>
      <c r="J17" s="37" t="s">
        <v>57</v>
      </c>
      <c r="K17" s="38"/>
      <c r="L17" s="39">
        <f>SUM(K15:M15)</f>
        <v>31732.888039999998</v>
      </c>
    </row>
    <row r="18" spans="1:13">
      <c r="A18" s="58" t="s">
        <v>133</v>
      </c>
      <c r="C18" s="5">
        <v>0.38</v>
      </c>
      <c r="D18" s="6">
        <v>30.4</v>
      </c>
      <c r="E18" s="2">
        <v>19023.03</v>
      </c>
      <c r="F18" s="2">
        <v>728.85</v>
      </c>
      <c r="G18" s="2">
        <v>23.98</v>
      </c>
      <c r="K18" s="31"/>
    </row>
    <row r="19" spans="1:13">
      <c r="A19" s="59" t="s">
        <v>134</v>
      </c>
      <c r="C19" s="5">
        <v>0.33</v>
      </c>
      <c r="D19" s="6">
        <v>26.4</v>
      </c>
      <c r="E19" s="2">
        <v>16520</v>
      </c>
      <c r="F19" s="2">
        <v>632.95000000000005</v>
      </c>
      <c r="G19" s="2">
        <v>23.98</v>
      </c>
    </row>
    <row r="20" spans="1:13" ht="15.75">
      <c r="C20" s="5">
        <v>0.25</v>
      </c>
      <c r="D20" s="6">
        <v>20</v>
      </c>
      <c r="E20" s="2">
        <v>12514.77</v>
      </c>
      <c r="F20" s="2">
        <v>479.49</v>
      </c>
      <c r="G20" s="2">
        <v>23.98</v>
      </c>
      <c r="J20" s="15" t="s">
        <v>109</v>
      </c>
      <c r="K20" s="35" t="s">
        <v>168</v>
      </c>
      <c r="L20" s="35" t="s">
        <v>177</v>
      </c>
      <c r="M20" s="35" t="s">
        <v>170</v>
      </c>
    </row>
    <row r="21" spans="1:13">
      <c r="C21" s="5"/>
      <c r="D21" s="6"/>
      <c r="E21" s="2"/>
      <c r="F21" s="2"/>
      <c r="G21" s="2"/>
      <c r="J21" s="60" t="s">
        <v>141</v>
      </c>
      <c r="K21" s="40" t="s">
        <v>163</v>
      </c>
      <c r="L21" s="40" t="s">
        <v>164</v>
      </c>
      <c r="M21" s="40" t="s">
        <v>165</v>
      </c>
    </row>
    <row r="22" spans="1:13">
      <c r="C22" s="5"/>
      <c r="D22" s="6"/>
      <c r="E22" s="2"/>
      <c r="F22" s="2"/>
      <c r="G22" s="2"/>
      <c r="J22" s="22" t="s">
        <v>112</v>
      </c>
      <c r="K22" s="31">
        <v>7595.4</v>
      </c>
      <c r="L22" s="31">
        <v>7365.24</v>
      </c>
      <c r="M22" s="2">
        <v>5063.6000000000004</v>
      </c>
    </row>
    <row r="23" spans="1:13">
      <c r="B23" s="5"/>
      <c r="C23" s="6"/>
      <c r="G23" s="2"/>
      <c r="J23" s="22" t="s">
        <v>174</v>
      </c>
      <c r="K23" s="31">
        <f>K22*0.102</f>
        <v>774.73079999999993</v>
      </c>
      <c r="L23" s="31">
        <f>L22*0.102</f>
        <v>751.25447999999994</v>
      </c>
      <c r="M23" s="2">
        <f>M22*0.102</f>
        <v>516.48720000000003</v>
      </c>
    </row>
    <row r="24" spans="1:13">
      <c r="A24" s="20" t="s">
        <v>151</v>
      </c>
      <c r="K24" s="31"/>
      <c r="L24" s="31"/>
      <c r="M24" s="2"/>
    </row>
    <row r="25" spans="1:13">
      <c r="J25" s="22" t="s">
        <v>53</v>
      </c>
      <c r="K25" s="31"/>
      <c r="L25" s="31"/>
      <c r="M25" s="2"/>
    </row>
    <row r="26" spans="1:13" ht="17.25">
      <c r="A26" s="17" t="s">
        <v>25</v>
      </c>
      <c r="B26" s="18"/>
      <c r="C26" s="18"/>
      <c r="D26" s="18"/>
      <c r="E26" s="18"/>
      <c r="F26" s="18"/>
      <c r="G26" s="18"/>
      <c r="H26" s="41"/>
      <c r="J26" s="22" t="s">
        <v>77</v>
      </c>
      <c r="K26" s="42">
        <f>F43</f>
        <v>4038.57</v>
      </c>
      <c r="L26" s="42">
        <f>F44</f>
        <v>4038.57</v>
      </c>
      <c r="M26" s="14">
        <f>F45</f>
        <v>2692.38</v>
      </c>
    </row>
    <row r="27" spans="1:13">
      <c r="A27" s="23"/>
      <c r="K27" s="31"/>
      <c r="M27" s="2"/>
    </row>
    <row r="28" spans="1:13">
      <c r="B28" t="s">
        <v>12</v>
      </c>
      <c r="J28" s="33" t="s">
        <v>55</v>
      </c>
      <c r="K28" s="34">
        <f>SUM(K22:K27)</f>
        <v>12408.700799999999</v>
      </c>
      <c r="L28" s="34">
        <f>SUM(L22:L27)</f>
        <v>12155.064479999999</v>
      </c>
      <c r="M28" s="4">
        <f>SUM(M22:M26)</f>
        <v>8272.4671999999991</v>
      </c>
    </row>
    <row r="29" spans="1:13">
      <c r="B29" t="s">
        <v>11</v>
      </c>
      <c r="K29" s="31"/>
    </row>
    <row r="30" spans="1:13" ht="15.75">
      <c r="B30" t="s">
        <v>8</v>
      </c>
      <c r="J30" s="37" t="s">
        <v>57</v>
      </c>
      <c r="K30" s="38"/>
      <c r="L30" s="39">
        <f>SUM(K28:M28)</f>
        <v>32836.232479999999</v>
      </c>
    </row>
    <row r="31" spans="1:13">
      <c r="B31" t="s">
        <v>16</v>
      </c>
    </row>
    <row r="32" spans="1:13">
      <c r="B32" t="s">
        <v>21</v>
      </c>
    </row>
    <row r="33" spans="2:15">
      <c r="J33" s="54"/>
    </row>
    <row r="34" spans="2:15">
      <c r="D34" s="3"/>
      <c r="E34" s="3"/>
      <c r="F34" s="4"/>
    </row>
    <row r="35" spans="2:15" ht="15">
      <c r="B35" s="12" t="s">
        <v>28</v>
      </c>
      <c r="E35" s="2"/>
    </row>
    <row r="36" spans="2:15" ht="15">
      <c r="B36" s="12" t="s">
        <v>135</v>
      </c>
      <c r="E36" s="2"/>
    </row>
    <row r="37" spans="2:15">
      <c r="B37" s="65"/>
      <c r="C37" s="3" t="s">
        <v>17</v>
      </c>
      <c r="E37" s="4">
        <f>SUM(E38+E39)</f>
        <v>530.69000000000005</v>
      </c>
    </row>
    <row r="38" spans="2:15">
      <c r="B38" s="65"/>
      <c r="C38" s="3" t="s">
        <v>18</v>
      </c>
      <c r="E38" s="2">
        <v>448.73</v>
      </c>
      <c r="F38" s="2" t="s">
        <v>24</v>
      </c>
      <c r="M38" s="56"/>
    </row>
    <row r="39" spans="2:15" ht="15.75">
      <c r="C39" s="3" t="s">
        <v>19</v>
      </c>
      <c r="E39" s="2">
        <v>81.96</v>
      </c>
      <c r="F39" s="55" t="s">
        <v>114</v>
      </c>
      <c r="J39" s="43" t="s">
        <v>72</v>
      </c>
      <c r="K39" s="56" t="s">
        <v>88</v>
      </c>
      <c r="L39" s="56" t="s">
        <v>115</v>
      </c>
      <c r="M39" s="56" t="s">
        <v>156</v>
      </c>
      <c r="N39" s="56" t="s">
        <v>158</v>
      </c>
      <c r="O39" s="61" t="s">
        <v>175</v>
      </c>
    </row>
    <row r="40" spans="2:15">
      <c r="D40" s="3"/>
      <c r="E40" s="2"/>
      <c r="F40" s="2"/>
      <c r="J40" s="22" t="s">
        <v>74</v>
      </c>
      <c r="K40">
        <v>1138.94</v>
      </c>
      <c r="L40">
        <v>1138.94</v>
      </c>
      <c r="M40" s="57">
        <v>1138.94</v>
      </c>
      <c r="N40" s="57">
        <v>1138.94</v>
      </c>
      <c r="O40" s="62"/>
    </row>
    <row r="41" spans="2:15">
      <c r="D41" s="3"/>
      <c r="F41" s="2"/>
      <c r="J41" s="22" t="s">
        <v>73</v>
      </c>
      <c r="K41" s="57">
        <v>112.53</v>
      </c>
      <c r="L41" s="57">
        <v>114.19</v>
      </c>
      <c r="M41" s="57">
        <v>114.19</v>
      </c>
      <c r="N41" s="57">
        <v>116.47</v>
      </c>
      <c r="O41" s="63"/>
    </row>
    <row r="42" spans="2:15" ht="15">
      <c r="B42" s="12" t="s">
        <v>22</v>
      </c>
      <c r="D42" s="65"/>
      <c r="G42" s="2"/>
      <c r="K42" s="22">
        <f>SUM(K40:K41)</f>
        <v>1251.47</v>
      </c>
      <c r="L42" s="3">
        <f>SUM(L40:L41)</f>
        <v>1253.1300000000001</v>
      </c>
      <c r="M42" s="3">
        <f>SUM(M40:M41)</f>
        <v>1253.1300000000001</v>
      </c>
      <c r="N42" s="3">
        <f>SUM(N40:N41)</f>
        <v>1255.4100000000001</v>
      </c>
      <c r="O42" s="64"/>
    </row>
    <row r="43" spans="2:15">
      <c r="C43" s="22" t="s">
        <v>178</v>
      </c>
      <c r="F43" s="2">
        <f>E38*9</f>
        <v>4038.57</v>
      </c>
      <c r="K43" s="50"/>
    </row>
    <row r="44" spans="2:15">
      <c r="C44" s="22" t="s">
        <v>179</v>
      </c>
      <c r="F44" s="2">
        <f>E38*9</f>
        <v>4038.57</v>
      </c>
      <c r="J44" s="22"/>
    </row>
    <row r="45" spans="2:15">
      <c r="C45" s="22" t="s">
        <v>180</v>
      </c>
      <c r="F45" s="14">
        <f>E38*6</f>
        <v>2692.38</v>
      </c>
    </row>
    <row r="46" spans="2:15" ht="15">
      <c r="C46" s="29" t="s">
        <v>37</v>
      </c>
      <c r="D46" s="29"/>
      <c r="E46" s="24"/>
      <c r="F46" s="30">
        <f>SUM(F43:F45)</f>
        <v>10769.52</v>
      </c>
      <c r="J46" s="26"/>
    </row>
    <row r="47" spans="2:15">
      <c r="F47" s="2"/>
      <c r="J47" s="26"/>
    </row>
    <row r="48" spans="2:15" ht="15">
      <c r="B48" s="12" t="s">
        <v>23</v>
      </c>
    </row>
    <row r="49" spans="1:8">
      <c r="C49" s="22" t="s">
        <v>181</v>
      </c>
      <c r="F49" s="2">
        <f>E39*9</f>
        <v>737.64</v>
      </c>
    </row>
    <row r="50" spans="1:8">
      <c r="C50" s="22" t="s">
        <v>182</v>
      </c>
      <c r="F50" s="2">
        <f>E39*9</f>
        <v>737.64</v>
      </c>
    </row>
    <row r="51" spans="1:8">
      <c r="C51" s="22" t="s">
        <v>183</v>
      </c>
      <c r="F51" s="14">
        <f>E39*6</f>
        <v>491.76</v>
      </c>
    </row>
    <row r="52" spans="1:8" ht="15">
      <c r="C52" s="12" t="s">
        <v>38</v>
      </c>
      <c r="F52" s="13">
        <f>SUM(F49:F51)</f>
        <v>1967.04</v>
      </c>
    </row>
    <row r="53" spans="1:8" ht="15">
      <c r="C53" s="12"/>
      <c r="F53" s="13"/>
    </row>
    <row r="54" spans="1:8" ht="15">
      <c r="B54" s="26" t="s">
        <v>76</v>
      </c>
      <c r="C54" s="12"/>
      <c r="F54" s="13"/>
    </row>
    <row r="55" spans="1:8" ht="15">
      <c r="B55" s="54"/>
      <c r="C55" s="12"/>
      <c r="F55" s="13"/>
    </row>
    <row r="58" spans="1:8" ht="15.75">
      <c r="A58" s="10" t="s">
        <v>5</v>
      </c>
      <c r="B58" s="11"/>
      <c r="C58" s="11"/>
      <c r="D58" s="11"/>
      <c r="E58" s="11"/>
      <c r="F58" s="11"/>
      <c r="G58" s="11"/>
      <c r="H58" s="11"/>
    </row>
    <row r="59" spans="1:8" ht="15.75">
      <c r="A59" s="15"/>
      <c r="B59" s="22" t="s">
        <v>184</v>
      </c>
    </row>
    <row r="60" spans="1:8" ht="15.75">
      <c r="A60" s="25"/>
      <c r="B60" s="27" t="s">
        <v>29</v>
      </c>
    </row>
    <row r="61" spans="1:8" ht="15.75">
      <c r="A61" s="15"/>
      <c r="B61" s="22" t="s">
        <v>185</v>
      </c>
      <c r="C61" s="26"/>
      <c r="D61" s="24"/>
      <c r="E61" s="24"/>
      <c r="F61" s="24"/>
      <c r="G61" s="24"/>
    </row>
    <row r="62" spans="1:8" ht="15.75">
      <c r="A62" s="15"/>
      <c r="B62" s="22" t="s">
        <v>187</v>
      </c>
      <c r="C62" s="26"/>
      <c r="D62" s="24"/>
      <c r="E62" s="24"/>
      <c r="F62" s="24"/>
      <c r="G62" s="24"/>
    </row>
    <row r="63" spans="1:8" ht="15.75">
      <c r="A63" s="15"/>
      <c r="B63" s="22" t="s">
        <v>188</v>
      </c>
      <c r="C63" s="26"/>
      <c r="D63" s="24"/>
      <c r="E63" s="24"/>
      <c r="F63" s="24"/>
      <c r="G63" s="24"/>
    </row>
    <row r="64" spans="1:8" ht="15.75">
      <c r="A64" s="15"/>
      <c r="B64" s="22" t="s">
        <v>69</v>
      </c>
      <c r="C64" s="26"/>
      <c r="D64" s="24"/>
      <c r="E64" s="24"/>
      <c r="F64" s="24"/>
      <c r="G64" s="24"/>
    </row>
    <row r="65" spans="1:5" ht="15.75">
      <c r="A65" s="15"/>
      <c r="B65" s="22"/>
      <c r="C65" s="3"/>
    </row>
    <row r="67" spans="1:5" ht="15">
      <c r="B67" s="27" t="s">
        <v>31</v>
      </c>
    </row>
    <row r="69" spans="1:5">
      <c r="C69" s="22" t="s">
        <v>136</v>
      </c>
    </row>
    <row r="70" spans="1:5">
      <c r="C70" s="3" t="s">
        <v>186</v>
      </c>
      <c r="E70" s="2">
        <f>16520*0.102</f>
        <v>1685.04</v>
      </c>
    </row>
    <row r="73" spans="1:5">
      <c r="C73" s="2">
        <v>16520</v>
      </c>
      <c r="D73" s="22" t="s">
        <v>33</v>
      </c>
    </row>
    <row r="74" spans="1:5">
      <c r="C74" s="14">
        <v>3370.08</v>
      </c>
      <c r="D74" s="22" t="s">
        <v>34</v>
      </c>
    </row>
    <row r="75" spans="1:5">
      <c r="C75" s="4">
        <f>SUM(C73:C74)</f>
        <v>19890.080000000002</v>
      </c>
      <c r="D75" s="22" t="s">
        <v>35</v>
      </c>
    </row>
    <row r="77" spans="1:5">
      <c r="B77" s="22" t="s">
        <v>189</v>
      </c>
    </row>
    <row r="83" spans="2:3">
      <c r="B83" s="5"/>
      <c r="C83" s="6"/>
    </row>
    <row r="84" spans="2:3">
      <c r="B84" s="5"/>
      <c r="C84" s="5"/>
    </row>
    <row r="85" spans="2:3">
      <c r="B85" s="5"/>
      <c r="C85" s="5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85"/>
  <sheetViews>
    <sheetView topLeftCell="A25" workbookViewId="0">
      <selection activeCell="K30" sqref="K30"/>
    </sheetView>
  </sheetViews>
  <sheetFormatPr defaultRowHeight="12.75"/>
  <cols>
    <col min="1" max="1" width="11.42578125" bestFit="1" customWidth="1"/>
    <col min="3" max="3" width="11.140625" customWidth="1"/>
    <col min="4" max="4" width="17.42578125" customWidth="1"/>
    <col min="5" max="5" width="12.5703125" customWidth="1"/>
    <col min="6" max="6" width="11.42578125" customWidth="1"/>
    <col min="9" max="9" width="2.85546875" customWidth="1"/>
    <col min="10" max="10" width="37.7109375" customWidth="1"/>
    <col min="11" max="11" width="12.5703125" customWidth="1"/>
    <col min="12" max="12" width="13.85546875" customWidth="1"/>
    <col min="13" max="13" width="14.28515625" customWidth="1"/>
  </cols>
  <sheetData>
    <row r="1" spans="1:13" ht="20.25" customHeight="1">
      <c r="A1" s="169" t="s">
        <v>15</v>
      </c>
      <c r="B1" s="169"/>
      <c r="C1" s="169"/>
      <c r="D1" s="169"/>
      <c r="E1" s="169"/>
      <c r="F1" s="169"/>
      <c r="G1" s="169"/>
      <c r="H1" s="169"/>
    </row>
    <row r="2" spans="1:13" ht="20.25" customHeight="1">
      <c r="A2" s="170" t="s">
        <v>13</v>
      </c>
      <c r="B2" s="170"/>
      <c r="C2" s="170"/>
      <c r="D2" s="170"/>
      <c r="E2" s="170"/>
      <c r="F2" s="170"/>
      <c r="G2" s="170"/>
      <c r="H2" s="170"/>
    </row>
    <row r="3" spans="1:13" ht="18" customHeight="1">
      <c r="A3" s="170" t="s">
        <v>14</v>
      </c>
      <c r="B3" s="170"/>
      <c r="C3" s="170"/>
      <c r="D3" s="170"/>
      <c r="E3" s="170"/>
      <c r="F3" s="170"/>
      <c r="G3" s="170"/>
      <c r="H3" s="170"/>
    </row>
    <row r="4" spans="1:13" ht="18">
      <c r="A4" s="21" t="s">
        <v>166</v>
      </c>
    </row>
    <row r="5" spans="1:13" ht="15">
      <c r="J5" s="27" t="s">
        <v>176</v>
      </c>
    </row>
    <row r="6" spans="1:13">
      <c r="A6" s="3" t="s">
        <v>167</v>
      </c>
    </row>
    <row r="7" spans="1:13" ht="15.75">
      <c r="J7" s="15" t="s">
        <v>108</v>
      </c>
      <c r="K7" s="35" t="s">
        <v>168</v>
      </c>
      <c r="L7" s="35" t="s">
        <v>169</v>
      </c>
      <c r="M7" s="35" t="s">
        <v>170</v>
      </c>
    </row>
    <row r="8" spans="1:13" ht="15.75">
      <c r="A8" s="9" t="s">
        <v>26</v>
      </c>
      <c r="B8" s="8"/>
      <c r="C8" s="8"/>
      <c r="D8" s="8"/>
      <c r="J8" s="60" t="s">
        <v>137</v>
      </c>
      <c r="K8" s="40" t="s">
        <v>171</v>
      </c>
      <c r="L8" s="40" t="s">
        <v>172</v>
      </c>
      <c r="M8" s="40" t="s">
        <v>173</v>
      </c>
    </row>
    <row r="9" spans="1:13" ht="15.75">
      <c r="A9" s="15"/>
      <c r="J9" s="22" t="s">
        <v>111</v>
      </c>
      <c r="K9" s="31">
        <v>7215.62</v>
      </c>
      <c r="L9" s="31">
        <v>6996.98</v>
      </c>
      <c r="M9" s="2">
        <v>4810.42</v>
      </c>
    </row>
    <row r="10" spans="1:13">
      <c r="B10" t="s">
        <v>71</v>
      </c>
      <c r="J10" s="22" t="s">
        <v>174</v>
      </c>
      <c r="K10" s="31">
        <f>K9*0.102</f>
        <v>735.9932399999999</v>
      </c>
      <c r="L10" s="31">
        <f>L9*0.102</f>
        <v>713.69195999999988</v>
      </c>
      <c r="M10" s="2">
        <f>M9*0.102</f>
        <v>490.66283999999996</v>
      </c>
    </row>
    <row r="11" spans="1:13">
      <c r="B11" t="s">
        <v>70</v>
      </c>
      <c r="K11" s="31"/>
      <c r="L11" s="31"/>
      <c r="M11" s="2"/>
    </row>
    <row r="12" spans="1:13">
      <c r="J12" s="22" t="s">
        <v>53</v>
      </c>
      <c r="K12" s="31"/>
      <c r="L12" s="31"/>
      <c r="M12" s="2"/>
    </row>
    <row r="13" spans="1:13" ht="15">
      <c r="C13" s="16" t="s">
        <v>27</v>
      </c>
      <c r="D13" s="19"/>
      <c r="J13" s="22" t="s">
        <v>77</v>
      </c>
      <c r="K13" s="42">
        <f>F43</f>
        <v>4038.57</v>
      </c>
      <c r="L13" s="42">
        <f>F44</f>
        <v>4038.57</v>
      </c>
      <c r="M13" s="14">
        <f>F45</f>
        <v>2692.38</v>
      </c>
    </row>
    <row r="14" spans="1:13">
      <c r="C14" s="7" t="s">
        <v>0</v>
      </c>
      <c r="D14" s="7" t="s">
        <v>4</v>
      </c>
      <c r="E14" s="7" t="s">
        <v>1</v>
      </c>
      <c r="F14" s="7" t="s">
        <v>2</v>
      </c>
      <c r="G14" s="7" t="s">
        <v>3</v>
      </c>
      <c r="K14" s="31"/>
      <c r="M14" s="2"/>
    </row>
    <row r="15" spans="1:13">
      <c r="C15" s="5">
        <v>1</v>
      </c>
      <c r="D15" s="6">
        <v>80</v>
      </c>
      <c r="E15" s="2">
        <v>50059.07</v>
      </c>
      <c r="F15" s="2">
        <v>1917.97</v>
      </c>
      <c r="G15" s="2">
        <v>23.98</v>
      </c>
      <c r="J15" s="33" t="s">
        <v>55</v>
      </c>
      <c r="K15" s="34">
        <f>SUM(K9:K14)</f>
        <v>11990.18324</v>
      </c>
      <c r="L15" s="34">
        <f>SUM(L9:L14)</f>
        <v>11749.241959999999</v>
      </c>
      <c r="M15" s="4">
        <f>SUM(M9:M13)</f>
        <v>7993.4628400000001</v>
      </c>
    </row>
    <row r="16" spans="1:13">
      <c r="C16" s="5">
        <v>0.5</v>
      </c>
      <c r="D16" s="6">
        <v>40</v>
      </c>
      <c r="E16" s="2">
        <v>25029.53</v>
      </c>
      <c r="F16" s="2">
        <v>958.99</v>
      </c>
      <c r="G16" s="2">
        <v>23.98</v>
      </c>
      <c r="K16" s="31"/>
    </row>
    <row r="17" spans="1:13" ht="15.75">
      <c r="A17" s="58" t="s">
        <v>132</v>
      </c>
      <c r="C17" s="5">
        <v>0.4</v>
      </c>
      <c r="D17" s="6">
        <v>32</v>
      </c>
      <c r="E17" s="2">
        <v>20024.240000000002</v>
      </c>
      <c r="F17" s="2">
        <v>767.21</v>
      </c>
      <c r="G17" s="2">
        <v>23.98</v>
      </c>
      <c r="J17" s="37" t="s">
        <v>57</v>
      </c>
      <c r="K17" s="38"/>
      <c r="L17" s="39">
        <f>SUM(K15:M15)</f>
        <v>31732.888039999998</v>
      </c>
    </row>
    <row r="18" spans="1:13">
      <c r="A18" s="58" t="s">
        <v>133</v>
      </c>
      <c r="C18" s="5">
        <v>0.38</v>
      </c>
      <c r="D18" s="6">
        <v>30.4</v>
      </c>
      <c r="E18" s="2">
        <v>19023.03</v>
      </c>
      <c r="F18" s="2">
        <v>728.85</v>
      </c>
      <c r="G18" s="2">
        <v>23.98</v>
      </c>
      <c r="K18" s="31"/>
    </row>
    <row r="19" spans="1:13">
      <c r="A19" s="59" t="s">
        <v>134</v>
      </c>
      <c r="C19" s="5">
        <v>0.33</v>
      </c>
      <c r="D19" s="6">
        <v>26.4</v>
      </c>
      <c r="E19" s="2">
        <v>16520</v>
      </c>
      <c r="F19" s="2">
        <v>632.95000000000005</v>
      </c>
      <c r="G19" s="2">
        <v>23.98</v>
      </c>
    </row>
    <row r="20" spans="1:13" ht="15.75">
      <c r="C20" s="5">
        <v>0.25</v>
      </c>
      <c r="D20" s="6">
        <v>20</v>
      </c>
      <c r="E20" s="2">
        <v>12514.77</v>
      </c>
      <c r="F20" s="2">
        <v>479.49</v>
      </c>
      <c r="G20" s="2">
        <v>23.98</v>
      </c>
      <c r="J20" s="15" t="s">
        <v>109</v>
      </c>
      <c r="K20" s="35" t="s">
        <v>168</v>
      </c>
      <c r="L20" s="35" t="s">
        <v>177</v>
      </c>
      <c r="M20" s="35" t="s">
        <v>170</v>
      </c>
    </row>
    <row r="21" spans="1:13">
      <c r="C21" s="5"/>
      <c r="D21" s="6"/>
      <c r="E21" s="2"/>
      <c r="F21" s="2"/>
      <c r="G21" s="2"/>
      <c r="J21" s="60" t="s">
        <v>141</v>
      </c>
      <c r="K21" s="40" t="s">
        <v>163</v>
      </c>
      <c r="L21" s="40" t="s">
        <v>164</v>
      </c>
      <c r="M21" s="40" t="s">
        <v>165</v>
      </c>
    </row>
    <row r="22" spans="1:13">
      <c r="C22" s="5"/>
      <c r="D22" s="6"/>
      <c r="E22" s="2"/>
      <c r="F22" s="2"/>
      <c r="G22" s="2"/>
      <c r="J22" s="22" t="s">
        <v>112</v>
      </c>
      <c r="K22" s="31">
        <v>7595.4</v>
      </c>
      <c r="L22" s="31">
        <v>7365.24</v>
      </c>
      <c r="M22" s="2">
        <v>5063.6000000000004</v>
      </c>
    </row>
    <row r="23" spans="1:13">
      <c r="B23" s="5"/>
      <c r="C23" s="6"/>
      <c r="G23" s="2"/>
      <c r="J23" s="22" t="s">
        <v>174</v>
      </c>
      <c r="K23" s="31">
        <f>K22*0.102</f>
        <v>774.73079999999993</v>
      </c>
      <c r="L23" s="31">
        <f>L22*0.102</f>
        <v>751.25447999999994</v>
      </c>
      <c r="M23" s="2">
        <f>M22*0.102</f>
        <v>516.48720000000003</v>
      </c>
    </row>
    <row r="24" spans="1:13">
      <c r="A24" s="20" t="s">
        <v>151</v>
      </c>
      <c r="K24" s="31"/>
      <c r="L24" s="31"/>
      <c r="M24" s="2"/>
    </row>
    <row r="25" spans="1:13">
      <c r="J25" s="22" t="s">
        <v>53</v>
      </c>
      <c r="K25" s="31"/>
      <c r="L25" s="31"/>
      <c r="M25" s="2"/>
    </row>
    <row r="26" spans="1:13" ht="17.25">
      <c r="A26" s="17" t="s">
        <v>25</v>
      </c>
      <c r="B26" s="18"/>
      <c r="C26" s="18"/>
      <c r="D26" s="18"/>
      <c r="E26" s="18"/>
      <c r="F26" s="18"/>
      <c r="G26" s="18"/>
      <c r="H26" s="41"/>
      <c r="J26" s="22" t="s">
        <v>77</v>
      </c>
      <c r="K26" s="42">
        <f>F43</f>
        <v>4038.57</v>
      </c>
      <c r="L26" s="42">
        <f>F44</f>
        <v>4038.57</v>
      </c>
      <c r="M26" s="14">
        <f>F45</f>
        <v>2692.38</v>
      </c>
    </row>
    <row r="27" spans="1:13">
      <c r="A27" s="23"/>
      <c r="K27" s="31"/>
      <c r="M27" s="2"/>
    </row>
    <row r="28" spans="1:13">
      <c r="B28" t="s">
        <v>12</v>
      </c>
      <c r="J28" s="33" t="s">
        <v>55</v>
      </c>
      <c r="K28" s="34">
        <f>SUM(K22:K27)</f>
        <v>12408.700799999999</v>
      </c>
      <c r="L28" s="34">
        <f>SUM(L22:L27)</f>
        <v>12155.064479999999</v>
      </c>
      <c r="M28" s="4">
        <f>SUM(M22:M26)</f>
        <v>8272.4671999999991</v>
      </c>
    </row>
    <row r="29" spans="1:13">
      <c r="B29" t="s">
        <v>11</v>
      </c>
      <c r="K29" s="31"/>
    </row>
    <row r="30" spans="1:13" ht="15.75">
      <c r="B30" t="s">
        <v>8</v>
      </c>
      <c r="J30" s="37" t="s">
        <v>57</v>
      </c>
      <c r="K30" s="38"/>
      <c r="L30" s="39">
        <f>SUM(K28:M28)</f>
        <v>32836.232479999999</v>
      </c>
    </row>
    <row r="31" spans="1:13">
      <c r="B31" t="s">
        <v>16</v>
      </c>
    </row>
    <row r="32" spans="1:13">
      <c r="B32" t="s">
        <v>21</v>
      </c>
    </row>
    <row r="33" spans="2:15">
      <c r="J33" s="54"/>
    </row>
    <row r="34" spans="2:15">
      <c r="D34" s="3"/>
      <c r="E34" s="3"/>
      <c r="F34" s="4"/>
    </row>
    <row r="35" spans="2:15" ht="15">
      <c r="B35" s="12" t="s">
        <v>28</v>
      </c>
      <c r="E35" s="2"/>
    </row>
    <row r="36" spans="2:15" ht="15">
      <c r="B36" s="12" t="s">
        <v>135</v>
      </c>
      <c r="E36" s="2"/>
    </row>
    <row r="37" spans="2:15">
      <c r="B37" s="1"/>
      <c r="C37" s="3" t="s">
        <v>17</v>
      </c>
      <c r="E37" s="4">
        <f>SUM(E38+E39)</f>
        <v>530.69000000000005</v>
      </c>
    </row>
    <row r="38" spans="2:15">
      <c r="B38" s="1"/>
      <c r="C38" s="3" t="s">
        <v>18</v>
      </c>
      <c r="E38" s="2">
        <v>448.73</v>
      </c>
      <c r="F38" s="2" t="s">
        <v>24</v>
      </c>
      <c r="M38" s="56"/>
    </row>
    <row r="39" spans="2:15" ht="15.75">
      <c r="C39" s="3" t="s">
        <v>19</v>
      </c>
      <c r="E39" s="2">
        <v>81.96</v>
      </c>
      <c r="F39" s="55" t="s">
        <v>114</v>
      </c>
      <c r="J39" s="43" t="s">
        <v>72</v>
      </c>
      <c r="K39" s="56" t="s">
        <v>88</v>
      </c>
      <c r="L39" s="56" t="s">
        <v>115</v>
      </c>
      <c r="M39" s="56" t="s">
        <v>156</v>
      </c>
      <c r="N39" s="56" t="s">
        <v>158</v>
      </c>
      <c r="O39" s="61" t="s">
        <v>175</v>
      </c>
    </row>
    <row r="40" spans="2:15">
      <c r="D40" s="3"/>
      <c r="E40" s="2"/>
      <c r="F40" s="2"/>
      <c r="J40" s="22" t="s">
        <v>74</v>
      </c>
      <c r="K40">
        <v>1138.94</v>
      </c>
      <c r="L40">
        <v>1138.94</v>
      </c>
      <c r="M40" s="57">
        <v>1138.94</v>
      </c>
      <c r="N40" s="57">
        <v>1138.94</v>
      </c>
      <c r="O40" s="62"/>
    </row>
    <row r="41" spans="2:15">
      <c r="D41" s="3"/>
      <c r="F41" s="2"/>
      <c r="J41" s="22" t="s">
        <v>73</v>
      </c>
      <c r="K41" s="57">
        <v>112.53</v>
      </c>
      <c r="L41" s="57">
        <v>114.19</v>
      </c>
      <c r="M41" s="57">
        <v>114.19</v>
      </c>
      <c r="N41" s="57">
        <v>116.47</v>
      </c>
      <c r="O41" s="63"/>
    </row>
    <row r="42" spans="2:15" ht="15">
      <c r="B42" s="12" t="s">
        <v>22</v>
      </c>
      <c r="D42" s="1"/>
      <c r="G42" s="2"/>
      <c r="K42" s="22">
        <f>SUM(K40:K41)</f>
        <v>1251.47</v>
      </c>
      <c r="L42" s="3">
        <f>SUM(L40:L41)</f>
        <v>1253.1300000000001</v>
      </c>
      <c r="M42" s="3">
        <f>SUM(M40:M41)</f>
        <v>1253.1300000000001</v>
      </c>
      <c r="N42" s="3">
        <f>SUM(N40:N41)</f>
        <v>1255.4100000000001</v>
      </c>
      <c r="O42" s="64"/>
    </row>
    <row r="43" spans="2:15">
      <c r="C43" s="22" t="s">
        <v>178</v>
      </c>
      <c r="F43" s="2">
        <f>E38*9</f>
        <v>4038.57</v>
      </c>
      <c r="K43" s="50"/>
    </row>
    <row r="44" spans="2:15">
      <c r="C44" s="22" t="s">
        <v>179</v>
      </c>
      <c r="F44" s="2">
        <f>E38*9</f>
        <v>4038.57</v>
      </c>
      <c r="J44" s="22"/>
    </row>
    <row r="45" spans="2:15">
      <c r="C45" s="22" t="s">
        <v>180</v>
      </c>
      <c r="F45" s="14">
        <f>E38*6</f>
        <v>2692.38</v>
      </c>
    </row>
    <row r="46" spans="2:15" ht="15">
      <c r="C46" s="29" t="s">
        <v>37</v>
      </c>
      <c r="D46" s="29"/>
      <c r="E46" s="24"/>
      <c r="F46" s="30">
        <f>SUM(F43:F45)</f>
        <v>10769.52</v>
      </c>
      <c r="J46" s="26"/>
    </row>
    <row r="47" spans="2:15">
      <c r="F47" s="2"/>
      <c r="J47" s="26"/>
    </row>
    <row r="48" spans="2:15" ht="15">
      <c r="B48" s="12" t="s">
        <v>23</v>
      </c>
    </row>
    <row r="49" spans="1:8">
      <c r="C49" s="22" t="s">
        <v>181</v>
      </c>
      <c r="F49" s="2">
        <f>E39*9</f>
        <v>737.64</v>
      </c>
    </row>
    <row r="50" spans="1:8">
      <c r="C50" s="22" t="s">
        <v>182</v>
      </c>
      <c r="F50" s="2">
        <f>E39*9</f>
        <v>737.64</v>
      </c>
    </row>
    <row r="51" spans="1:8">
      <c r="C51" s="22" t="s">
        <v>183</v>
      </c>
      <c r="F51" s="14">
        <f>E39*6</f>
        <v>491.76</v>
      </c>
    </row>
    <row r="52" spans="1:8" ht="15">
      <c r="C52" s="12" t="s">
        <v>38</v>
      </c>
      <c r="F52" s="13">
        <f>SUM(F49:F51)</f>
        <v>1967.04</v>
      </c>
    </row>
    <row r="53" spans="1:8" ht="15">
      <c r="C53" s="12"/>
      <c r="F53" s="13"/>
    </row>
    <row r="54" spans="1:8" ht="15">
      <c r="B54" s="26" t="s">
        <v>76</v>
      </c>
      <c r="C54" s="12"/>
      <c r="F54" s="13"/>
    </row>
    <row r="55" spans="1:8" ht="15">
      <c r="B55" s="54"/>
      <c r="C55" s="12"/>
      <c r="F55" s="13"/>
    </row>
    <row r="58" spans="1:8" ht="15.75">
      <c r="A58" s="10" t="s">
        <v>5</v>
      </c>
      <c r="B58" s="11"/>
      <c r="C58" s="11"/>
      <c r="D58" s="11"/>
      <c r="E58" s="11"/>
      <c r="F58" s="11"/>
      <c r="G58" s="11"/>
      <c r="H58" s="11"/>
    </row>
    <row r="59" spans="1:8" ht="15.75">
      <c r="A59" s="15"/>
      <c r="B59" s="22" t="s">
        <v>184</v>
      </c>
    </row>
    <row r="60" spans="1:8" ht="15.75">
      <c r="A60" s="25"/>
      <c r="B60" s="27" t="s">
        <v>29</v>
      </c>
    </row>
    <row r="61" spans="1:8" ht="15.75">
      <c r="A61" s="15"/>
      <c r="B61" s="22" t="s">
        <v>185</v>
      </c>
      <c r="C61" s="26"/>
      <c r="D61" s="24"/>
      <c r="E61" s="24"/>
      <c r="F61" s="24"/>
      <c r="G61" s="24"/>
    </row>
    <row r="62" spans="1:8" ht="15.75">
      <c r="A62" s="15"/>
      <c r="B62" s="22" t="s">
        <v>187</v>
      </c>
      <c r="C62" s="26"/>
      <c r="D62" s="24"/>
      <c r="E62" s="24"/>
      <c r="F62" s="24"/>
      <c r="G62" s="24"/>
    </row>
    <row r="63" spans="1:8" ht="15.75">
      <c r="A63" s="15"/>
      <c r="B63" s="22" t="s">
        <v>188</v>
      </c>
      <c r="C63" s="26"/>
      <c r="D63" s="24"/>
      <c r="E63" s="24"/>
      <c r="F63" s="24"/>
      <c r="G63" s="24"/>
    </row>
    <row r="64" spans="1:8" ht="15.75">
      <c r="A64" s="15"/>
      <c r="B64" s="22" t="s">
        <v>69</v>
      </c>
      <c r="C64" s="26"/>
      <c r="D64" s="24"/>
      <c r="E64" s="24"/>
      <c r="F64" s="24"/>
      <c r="G64" s="24"/>
    </row>
    <row r="65" spans="1:5" ht="15.75">
      <c r="A65" s="15"/>
      <c r="B65" s="22"/>
      <c r="C65" s="3"/>
    </row>
    <row r="67" spans="1:5" ht="15">
      <c r="B67" s="27" t="s">
        <v>31</v>
      </c>
    </row>
    <row r="69" spans="1:5">
      <c r="C69" s="22" t="s">
        <v>136</v>
      </c>
    </row>
    <row r="70" spans="1:5">
      <c r="C70" s="3" t="s">
        <v>186</v>
      </c>
      <c r="E70" s="2">
        <f>16520*0.102</f>
        <v>1685.04</v>
      </c>
    </row>
    <row r="73" spans="1:5">
      <c r="C73" s="2">
        <v>16520</v>
      </c>
      <c r="D73" s="22" t="s">
        <v>33</v>
      </c>
    </row>
    <row r="74" spans="1:5">
      <c r="C74" s="28">
        <v>3370.08</v>
      </c>
      <c r="D74" s="22" t="s">
        <v>34</v>
      </c>
    </row>
    <row r="75" spans="1:5">
      <c r="C75" s="4">
        <f>SUM(C73:C74)</f>
        <v>19890.080000000002</v>
      </c>
      <c r="D75" s="22" t="s">
        <v>35</v>
      </c>
    </row>
    <row r="77" spans="1:5">
      <c r="B77" s="22" t="s">
        <v>189</v>
      </c>
    </row>
    <row r="83" spans="2:3">
      <c r="B83" s="5"/>
      <c r="C83" s="6"/>
    </row>
    <row r="84" spans="2:3">
      <c r="B84" s="5"/>
      <c r="C84" s="5"/>
    </row>
    <row r="85" spans="2:3">
      <c r="B85" s="5"/>
      <c r="C85" s="5"/>
    </row>
  </sheetData>
  <mergeCells count="3">
    <mergeCell ref="A1:H1"/>
    <mergeCell ref="A2:H2"/>
    <mergeCell ref="A3:H3"/>
  </mergeCells>
  <pageMargins left="0.7" right="0.7" top="0.75" bottom="0.75" header="0.3" footer="0.3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N85"/>
  <sheetViews>
    <sheetView workbookViewId="0">
      <selection activeCell="K30" sqref="K30"/>
    </sheetView>
  </sheetViews>
  <sheetFormatPr defaultRowHeight="12.75"/>
  <cols>
    <col min="1" max="1" width="11.42578125" bestFit="1" customWidth="1"/>
    <col min="3" max="3" width="11.140625" customWidth="1"/>
    <col min="4" max="4" width="17.42578125" customWidth="1"/>
    <col min="5" max="5" width="12.5703125" customWidth="1"/>
    <col min="6" max="6" width="11.42578125" customWidth="1"/>
    <col min="9" max="9" width="2.85546875" customWidth="1"/>
    <col min="10" max="10" width="37.7109375" customWidth="1"/>
    <col min="11" max="11" width="12.5703125" customWidth="1"/>
    <col min="12" max="12" width="13.85546875" customWidth="1"/>
    <col min="13" max="13" width="14.28515625" customWidth="1"/>
  </cols>
  <sheetData>
    <row r="1" spans="1:13" ht="20.25" customHeight="1">
      <c r="A1" s="169" t="s">
        <v>15</v>
      </c>
      <c r="B1" s="169"/>
      <c r="C1" s="169"/>
      <c r="D1" s="169"/>
      <c r="E1" s="169"/>
      <c r="F1" s="169"/>
      <c r="G1" s="169"/>
      <c r="H1" s="169"/>
    </row>
    <row r="2" spans="1:13" ht="20.25" customHeight="1">
      <c r="A2" s="170" t="s">
        <v>13</v>
      </c>
      <c r="B2" s="170"/>
      <c r="C2" s="170"/>
      <c r="D2" s="170"/>
      <c r="E2" s="170"/>
      <c r="F2" s="170"/>
      <c r="G2" s="170"/>
      <c r="H2" s="170"/>
    </row>
    <row r="3" spans="1:13" ht="18" customHeight="1">
      <c r="A3" s="170" t="s">
        <v>14</v>
      </c>
      <c r="B3" s="170"/>
      <c r="C3" s="170"/>
      <c r="D3" s="170"/>
      <c r="E3" s="170"/>
      <c r="F3" s="170"/>
      <c r="G3" s="170"/>
      <c r="H3" s="170"/>
    </row>
    <row r="4" spans="1:13" ht="18">
      <c r="A4" s="21" t="s">
        <v>131</v>
      </c>
    </row>
    <row r="5" spans="1:13" ht="15">
      <c r="J5" s="27" t="s">
        <v>157</v>
      </c>
    </row>
    <row r="6" spans="1:13">
      <c r="A6" s="3" t="s">
        <v>162</v>
      </c>
    </row>
    <row r="7" spans="1:13" ht="15.75">
      <c r="J7" s="15" t="s">
        <v>108</v>
      </c>
      <c r="K7" s="35" t="s">
        <v>150</v>
      </c>
      <c r="L7" s="35" t="s">
        <v>142</v>
      </c>
      <c r="M7" s="35" t="s">
        <v>143</v>
      </c>
    </row>
    <row r="8" spans="1:13" ht="15.75">
      <c r="A8" s="9" t="s">
        <v>26</v>
      </c>
      <c r="B8" s="8"/>
      <c r="C8" s="8"/>
      <c r="D8" s="8"/>
      <c r="J8" s="60" t="s">
        <v>137</v>
      </c>
      <c r="K8" s="40" t="s">
        <v>138</v>
      </c>
      <c r="L8" s="40" t="s">
        <v>139</v>
      </c>
      <c r="M8" s="40" t="s">
        <v>140</v>
      </c>
    </row>
    <row r="9" spans="1:13" ht="15.75">
      <c r="A9" s="15"/>
      <c r="J9" s="22" t="s">
        <v>111</v>
      </c>
      <c r="K9" s="31">
        <v>7215.62</v>
      </c>
      <c r="L9" s="31">
        <v>6996.98</v>
      </c>
      <c r="M9" s="2">
        <v>4810.42</v>
      </c>
    </row>
    <row r="10" spans="1:13">
      <c r="B10" t="s">
        <v>71</v>
      </c>
      <c r="J10" s="22" t="s">
        <v>155</v>
      </c>
      <c r="K10" s="31">
        <f>K9*0.149</f>
        <v>1075.1273799999999</v>
      </c>
      <c r="L10" s="31">
        <f>L9*0.149</f>
        <v>1042.5500199999999</v>
      </c>
      <c r="M10" s="2">
        <f>M9*0.149</f>
        <v>716.75257999999997</v>
      </c>
    </row>
    <row r="11" spans="1:13">
      <c r="B11" t="s">
        <v>70</v>
      </c>
      <c r="K11" s="31"/>
      <c r="L11" s="31"/>
      <c r="M11" s="2"/>
    </row>
    <row r="12" spans="1:13">
      <c r="J12" s="22" t="s">
        <v>53</v>
      </c>
      <c r="K12" s="31"/>
      <c r="L12" s="31"/>
      <c r="M12" s="2"/>
    </row>
    <row r="13" spans="1:13" ht="15">
      <c r="C13" s="16" t="s">
        <v>27</v>
      </c>
      <c r="D13" s="19"/>
      <c r="J13" s="22" t="s">
        <v>77</v>
      </c>
      <c r="K13" s="42">
        <f>F43</f>
        <v>4038.57</v>
      </c>
      <c r="L13" s="42">
        <f>F44</f>
        <v>4038.57</v>
      </c>
      <c r="M13" s="14">
        <f>F45</f>
        <v>2692.38</v>
      </c>
    </row>
    <row r="14" spans="1:13">
      <c r="C14" s="7" t="s">
        <v>0</v>
      </c>
      <c r="D14" s="7" t="s">
        <v>4</v>
      </c>
      <c r="E14" s="7" t="s">
        <v>1</v>
      </c>
      <c r="F14" s="7" t="s">
        <v>2</v>
      </c>
      <c r="G14" s="7" t="s">
        <v>3</v>
      </c>
      <c r="K14" s="31"/>
      <c r="M14" s="2"/>
    </row>
    <row r="15" spans="1:13">
      <c r="C15" s="5">
        <v>1</v>
      </c>
      <c r="D15" s="6">
        <v>80</v>
      </c>
      <c r="E15" s="2">
        <v>50059.07</v>
      </c>
      <c r="F15" s="2">
        <v>1917.97</v>
      </c>
      <c r="G15" s="2">
        <v>23.98</v>
      </c>
      <c r="J15" s="33" t="s">
        <v>55</v>
      </c>
      <c r="K15" s="34">
        <f>SUM(K9:K14)</f>
        <v>12329.31738</v>
      </c>
      <c r="L15" s="34">
        <f>SUM(L9:L14)</f>
        <v>12078.10002</v>
      </c>
      <c r="M15" s="4">
        <f>SUM(M9:M13)</f>
        <v>8219.5525799999996</v>
      </c>
    </row>
    <row r="16" spans="1:13">
      <c r="C16" s="5">
        <v>0.5</v>
      </c>
      <c r="D16" s="6">
        <v>40</v>
      </c>
      <c r="E16" s="2">
        <v>25029.53</v>
      </c>
      <c r="F16" s="2">
        <v>958.99</v>
      </c>
      <c r="G16" s="2">
        <v>23.98</v>
      </c>
      <c r="K16" s="31"/>
    </row>
    <row r="17" spans="1:13" ht="15.75">
      <c r="A17" s="58" t="s">
        <v>132</v>
      </c>
      <c r="C17" s="5">
        <v>0.4</v>
      </c>
      <c r="D17" s="6">
        <v>32</v>
      </c>
      <c r="E17" s="2">
        <v>20024.240000000002</v>
      </c>
      <c r="F17" s="2">
        <v>767.21</v>
      </c>
      <c r="G17" s="2">
        <v>23.98</v>
      </c>
      <c r="J17" s="37" t="s">
        <v>57</v>
      </c>
      <c r="K17" s="38"/>
      <c r="L17" s="39">
        <f>SUM(K15:M15)</f>
        <v>32626.969979999998</v>
      </c>
    </row>
    <row r="18" spans="1:13">
      <c r="A18" s="58" t="s">
        <v>133</v>
      </c>
      <c r="C18" s="5">
        <v>0.38</v>
      </c>
      <c r="D18" s="6">
        <v>30.4</v>
      </c>
      <c r="E18" s="2">
        <v>19023.03</v>
      </c>
      <c r="F18" s="2">
        <v>728.85</v>
      </c>
      <c r="G18" s="2">
        <v>23.98</v>
      </c>
      <c r="K18" s="31"/>
    </row>
    <row r="19" spans="1:13">
      <c r="A19" s="59" t="s">
        <v>134</v>
      </c>
      <c r="C19" s="5">
        <v>0.33</v>
      </c>
      <c r="D19" s="6">
        <v>26.4</v>
      </c>
      <c r="E19" s="2">
        <v>16520</v>
      </c>
      <c r="F19" s="2">
        <v>632.95000000000005</v>
      </c>
      <c r="G19" s="2">
        <v>23.98</v>
      </c>
    </row>
    <row r="20" spans="1:13" ht="15.75">
      <c r="C20" s="5">
        <v>0.25</v>
      </c>
      <c r="D20" s="6">
        <v>20</v>
      </c>
      <c r="E20" s="2">
        <v>12514.77</v>
      </c>
      <c r="F20" s="2">
        <v>479.49</v>
      </c>
      <c r="G20" s="2">
        <v>23.98</v>
      </c>
      <c r="J20" s="15" t="s">
        <v>109</v>
      </c>
      <c r="K20" s="35" t="s">
        <v>150</v>
      </c>
      <c r="L20" s="35" t="s">
        <v>142</v>
      </c>
      <c r="M20" s="35" t="s">
        <v>143</v>
      </c>
    </row>
    <row r="21" spans="1:13">
      <c r="C21" s="5"/>
      <c r="D21" s="6"/>
      <c r="E21" s="2"/>
      <c r="F21" s="2"/>
      <c r="G21" s="2"/>
      <c r="J21" s="60" t="s">
        <v>141</v>
      </c>
      <c r="K21" s="40" t="s">
        <v>138</v>
      </c>
      <c r="L21" s="40" t="s">
        <v>139</v>
      </c>
      <c r="M21" s="40" t="s">
        <v>140</v>
      </c>
    </row>
    <row r="22" spans="1:13">
      <c r="C22" s="5"/>
      <c r="D22" s="6"/>
      <c r="E22" s="2"/>
      <c r="F22" s="2"/>
      <c r="G22" s="2"/>
      <c r="J22" s="22" t="s">
        <v>112</v>
      </c>
      <c r="K22" s="31">
        <v>7595.4</v>
      </c>
      <c r="L22" s="31">
        <v>7365.24</v>
      </c>
      <c r="M22" s="2">
        <v>5063.6000000000004</v>
      </c>
    </row>
    <row r="23" spans="1:13">
      <c r="B23" s="5"/>
      <c r="C23" s="6"/>
      <c r="G23" s="2"/>
      <c r="J23" s="22" t="s">
        <v>155</v>
      </c>
      <c r="K23" s="31">
        <f>K22*0.149</f>
        <v>1131.7145999999998</v>
      </c>
      <c r="L23" s="31">
        <f>L22*0.149</f>
        <v>1097.42076</v>
      </c>
      <c r="M23" s="2">
        <f>M22*0.149</f>
        <v>754.47640000000001</v>
      </c>
    </row>
    <row r="24" spans="1:13">
      <c r="A24" s="20" t="s">
        <v>151</v>
      </c>
      <c r="K24" s="31"/>
      <c r="L24" s="31"/>
      <c r="M24" s="2"/>
    </row>
    <row r="25" spans="1:13">
      <c r="J25" s="22" t="s">
        <v>53</v>
      </c>
      <c r="K25" s="31"/>
      <c r="L25" s="31"/>
      <c r="M25" s="2"/>
    </row>
    <row r="26" spans="1:13" ht="17.25">
      <c r="A26" s="17" t="s">
        <v>25</v>
      </c>
      <c r="B26" s="18"/>
      <c r="C26" s="18"/>
      <c r="D26" s="18"/>
      <c r="E26" s="18"/>
      <c r="F26" s="18"/>
      <c r="G26" s="18"/>
      <c r="H26" s="41"/>
      <c r="J26" s="22" t="s">
        <v>77</v>
      </c>
      <c r="K26" s="42">
        <f>F43</f>
        <v>4038.57</v>
      </c>
      <c r="L26" s="42">
        <f>F44</f>
        <v>4038.57</v>
      </c>
      <c r="M26" s="14">
        <f>F45</f>
        <v>2692.38</v>
      </c>
    </row>
    <row r="27" spans="1:13">
      <c r="A27" s="23"/>
      <c r="K27" s="31"/>
      <c r="M27" s="2"/>
    </row>
    <row r="28" spans="1:13">
      <c r="B28" t="s">
        <v>12</v>
      </c>
      <c r="J28" s="33" t="s">
        <v>55</v>
      </c>
      <c r="K28" s="34">
        <f>SUM(K22:K27)</f>
        <v>12765.684599999999</v>
      </c>
      <c r="L28" s="34">
        <f>SUM(L22:L27)</f>
        <v>12501.230759999999</v>
      </c>
      <c r="M28" s="4">
        <f>SUM(M22:M26)</f>
        <v>8510.4563999999991</v>
      </c>
    </row>
    <row r="29" spans="1:13">
      <c r="B29" t="s">
        <v>11</v>
      </c>
      <c r="K29" s="31"/>
    </row>
    <row r="30" spans="1:13" ht="15.75">
      <c r="B30" t="s">
        <v>8</v>
      </c>
      <c r="J30" s="37" t="s">
        <v>57</v>
      </c>
      <c r="K30" s="38"/>
      <c r="L30" s="39">
        <f>SUM(K28:M28)</f>
        <v>33777.371759999995</v>
      </c>
    </row>
    <row r="31" spans="1:13">
      <c r="B31" t="s">
        <v>16</v>
      </c>
    </row>
    <row r="32" spans="1:13">
      <c r="B32" t="s">
        <v>21</v>
      </c>
    </row>
    <row r="33" spans="2:14">
      <c r="J33" s="54"/>
    </row>
    <row r="34" spans="2:14">
      <c r="D34" s="3"/>
      <c r="E34" s="3"/>
      <c r="F34" s="4"/>
    </row>
    <row r="35" spans="2:14" ht="15">
      <c r="B35" s="12" t="s">
        <v>28</v>
      </c>
      <c r="E35" s="2"/>
    </row>
    <row r="36" spans="2:14" ht="15">
      <c r="B36" s="12" t="s">
        <v>135</v>
      </c>
      <c r="E36" s="2"/>
    </row>
    <row r="37" spans="2:14">
      <c r="B37" s="1"/>
      <c r="C37" s="3" t="s">
        <v>17</v>
      </c>
      <c r="E37" s="4">
        <f>SUM(E38+E39)</f>
        <v>528.41000000000008</v>
      </c>
    </row>
    <row r="38" spans="2:14">
      <c r="B38" s="1"/>
      <c r="C38" s="3" t="s">
        <v>18</v>
      </c>
      <c r="E38" s="2">
        <v>448.73</v>
      </c>
      <c r="F38" s="2" t="s">
        <v>24</v>
      </c>
    </row>
    <row r="39" spans="2:14" ht="15.75">
      <c r="C39" s="3" t="s">
        <v>19</v>
      </c>
      <c r="E39" s="2">
        <v>79.680000000000007</v>
      </c>
      <c r="F39" s="55" t="s">
        <v>114</v>
      </c>
      <c r="J39" s="43" t="s">
        <v>72</v>
      </c>
      <c r="K39" s="56" t="s">
        <v>88</v>
      </c>
      <c r="L39" s="56" t="s">
        <v>115</v>
      </c>
      <c r="M39" s="61" t="s">
        <v>156</v>
      </c>
      <c r="N39" s="22"/>
    </row>
    <row r="40" spans="2:14">
      <c r="D40" s="3"/>
      <c r="E40" s="2"/>
      <c r="F40" s="2"/>
      <c r="J40" s="22" t="s">
        <v>74</v>
      </c>
      <c r="K40">
        <v>1138.94</v>
      </c>
      <c r="L40">
        <v>1138.94</v>
      </c>
      <c r="M40" s="62">
        <v>1138.94</v>
      </c>
    </row>
    <row r="41" spans="2:14">
      <c r="D41" s="3"/>
      <c r="F41" s="2"/>
      <c r="J41" s="22" t="s">
        <v>73</v>
      </c>
      <c r="K41" s="57">
        <v>112.53</v>
      </c>
      <c r="L41" s="57">
        <v>114.19</v>
      </c>
      <c r="M41" s="63">
        <v>114.19</v>
      </c>
    </row>
    <row r="42" spans="2:14" ht="15">
      <c r="B42" s="12" t="s">
        <v>22</v>
      </c>
      <c r="D42" s="1"/>
      <c r="G42" s="2"/>
      <c r="K42" s="22">
        <f>SUM(K40:K41)</f>
        <v>1251.47</v>
      </c>
      <c r="L42" s="3">
        <f>SUM(L40:L41)</f>
        <v>1253.1300000000001</v>
      </c>
      <c r="M42" s="62">
        <f>SUM(M40:M41)</f>
        <v>1253.1300000000001</v>
      </c>
    </row>
    <row r="43" spans="2:14">
      <c r="C43" s="22" t="s">
        <v>144</v>
      </c>
      <c r="F43" s="2">
        <f>E38*9</f>
        <v>4038.57</v>
      </c>
      <c r="K43" s="50"/>
    </row>
    <row r="44" spans="2:14">
      <c r="C44" s="22" t="s">
        <v>145</v>
      </c>
      <c r="F44" s="2">
        <f>E38*9</f>
        <v>4038.57</v>
      </c>
      <c r="J44" s="22"/>
    </row>
    <row r="45" spans="2:14">
      <c r="C45" s="22" t="s">
        <v>146</v>
      </c>
      <c r="F45" s="14">
        <f>E38*6</f>
        <v>2692.38</v>
      </c>
    </row>
    <row r="46" spans="2:14" ht="15">
      <c r="C46" s="29" t="s">
        <v>37</v>
      </c>
      <c r="D46" s="29"/>
      <c r="E46" s="24"/>
      <c r="F46" s="30">
        <f>SUM(F43:F45)</f>
        <v>10769.52</v>
      </c>
      <c r="J46" s="26"/>
    </row>
    <row r="47" spans="2:14">
      <c r="F47" s="2"/>
      <c r="J47" s="26"/>
    </row>
    <row r="48" spans="2:14" ht="15">
      <c r="B48" s="12" t="s">
        <v>23</v>
      </c>
    </row>
    <row r="49" spans="1:8">
      <c r="C49" s="22" t="s">
        <v>147</v>
      </c>
      <c r="F49" s="2">
        <f>E39*9</f>
        <v>717.12000000000012</v>
      </c>
    </row>
    <row r="50" spans="1:8">
      <c r="C50" s="22" t="s">
        <v>148</v>
      </c>
      <c r="F50" s="2">
        <f>E39*9</f>
        <v>717.12000000000012</v>
      </c>
    </row>
    <row r="51" spans="1:8">
      <c r="C51" s="22" t="s">
        <v>149</v>
      </c>
      <c r="F51" s="14">
        <f>E39*6</f>
        <v>478.08000000000004</v>
      </c>
    </row>
    <row r="52" spans="1:8" ht="15">
      <c r="C52" s="12" t="s">
        <v>38</v>
      </c>
      <c r="F52" s="13">
        <f>SUM(F49:F51)</f>
        <v>1912.3200000000002</v>
      </c>
    </row>
    <row r="53" spans="1:8" ht="15">
      <c r="C53" s="12"/>
      <c r="F53" s="13"/>
    </row>
    <row r="54" spans="1:8" ht="15">
      <c r="B54" s="26" t="s">
        <v>76</v>
      </c>
      <c r="C54" s="12"/>
      <c r="F54" s="13"/>
    </row>
    <row r="55" spans="1:8" ht="15">
      <c r="B55" s="54"/>
      <c r="C55" s="12"/>
      <c r="F55" s="13"/>
    </row>
    <row r="58" spans="1:8" ht="15.75">
      <c r="A58" s="10" t="s">
        <v>5</v>
      </c>
      <c r="B58" s="11"/>
      <c r="C58" s="11"/>
      <c r="D58" s="11"/>
      <c r="E58" s="11"/>
      <c r="F58" s="11"/>
      <c r="G58" s="11"/>
      <c r="H58" s="11"/>
    </row>
    <row r="59" spans="1:8" ht="15.75">
      <c r="A59" s="15"/>
      <c r="B59" s="22" t="s">
        <v>160</v>
      </c>
    </row>
    <row r="60" spans="1:8" ht="15.75">
      <c r="A60" s="25"/>
      <c r="B60" s="27" t="s">
        <v>29</v>
      </c>
    </row>
    <row r="61" spans="1:8" ht="15.75">
      <c r="A61" s="15"/>
      <c r="B61" s="22" t="s">
        <v>152</v>
      </c>
      <c r="C61" s="26"/>
      <c r="D61" s="24"/>
      <c r="E61" s="24"/>
      <c r="F61" s="24"/>
      <c r="G61" s="24"/>
    </row>
    <row r="62" spans="1:8" ht="15.75">
      <c r="A62" s="15"/>
      <c r="B62" s="22" t="s">
        <v>153</v>
      </c>
      <c r="C62" s="26"/>
      <c r="D62" s="24"/>
      <c r="E62" s="24"/>
      <c r="F62" s="24"/>
      <c r="G62" s="24"/>
    </row>
    <row r="63" spans="1:8" ht="15.75">
      <c r="A63" s="15"/>
      <c r="B63" s="22" t="s">
        <v>159</v>
      </c>
      <c r="C63" s="26"/>
      <c r="D63" s="24"/>
      <c r="E63" s="24"/>
      <c r="F63" s="24"/>
      <c r="G63" s="24"/>
    </row>
    <row r="64" spans="1:8" ht="15.75">
      <c r="A64" s="15"/>
      <c r="B64" s="22" t="s">
        <v>69</v>
      </c>
      <c r="C64" s="26"/>
      <c r="D64" s="24"/>
      <c r="E64" s="24"/>
      <c r="F64" s="24"/>
      <c r="G64" s="24"/>
    </row>
    <row r="65" spans="1:5" ht="15.75">
      <c r="A65" s="15"/>
      <c r="B65" s="22"/>
      <c r="C65" s="3"/>
    </row>
    <row r="67" spans="1:5" ht="15">
      <c r="B67" s="27" t="s">
        <v>31</v>
      </c>
    </row>
    <row r="69" spans="1:5">
      <c r="C69" s="22" t="s">
        <v>136</v>
      </c>
    </row>
    <row r="70" spans="1:5">
      <c r="C70" s="3" t="s">
        <v>154</v>
      </c>
      <c r="E70" s="2">
        <v>2461</v>
      </c>
    </row>
    <row r="73" spans="1:5">
      <c r="C73" s="2">
        <v>16520</v>
      </c>
      <c r="D73" s="22" t="s">
        <v>33</v>
      </c>
    </row>
    <row r="74" spans="1:5">
      <c r="C74" s="28">
        <v>2461</v>
      </c>
      <c r="D74" s="22" t="s">
        <v>34</v>
      </c>
    </row>
    <row r="75" spans="1:5">
      <c r="C75" s="4">
        <f>SUM(C73:C74)</f>
        <v>18981</v>
      </c>
      <c r="D75" s="22" t="s">
        <v>35</v>
      </c>
    </row>
    <row r="77" spans="1:5">
      <c r="B77" s="22" t="s">
        <v>161</v>
      </c>
    </row>
    <row r="83" spans="2:3">
      <c r="B83" s="5"/>
      <c r="C83" s="6"/>
    </row>
    <row r="84" spans="2:3">
      <c r="B84" s="5"/>
      <c r="C84" s="5"/>
    </row>
    <row r="85" spans="2:3">
      <c r="B85" s="5"/>
      <c r="C85" s="5"/>
    </row>
  </sheetData>
  <mergeCells count="3">
    <mergeCell ref="A1:H1"/>
    <mergeCell ref="A2:H2"/>
    <mergeCell ref="A3:H3"/>
  </mergeCells>
  <pageMargins left="0.7" right="0.7" top="0.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5"/>
  <sheetViews>
    <sheetView topLeftCell="A22" workbookViewId="0">
      <selection activeCell="K30" sqref="K30"/>
    </sheetView>
  </sheetViews>
  <sheetFormatPr defaultRowHeight="12.75"/>
  <cols>
    <col min="1" max="1" width="10.140625" bestFit="1" customWidth="1"/>
    <col min="3" max="3" width="11.140625" customWidth="1"/>
    <col min="4" max="4" width="17.42578125" customWidth="1"/>
    <col min="5" max="5" width="12.5703125" customWidth="1"/>
    <col min="6" max="6" width="11.42578125" customWidth="1"/>
    <col min="9" max="9" width="3.7109375" customWidth="1"/>
    <col min="10" max="10" width="37.7109375" customWidth="1"/>
    <col min="11" max="11" width="12.5703125" customWidth="1"/>
    <col min="12" max="12" width="13.85546875" customWidth="1"/>
    <col min="13" max="13" width="14.28515625" customWidth="1"/>
  </cols>
  <sheetData>
    <row r="1" spans="1:13" ht="20.25" customHeight="1">
      <c r="A1" s="169" t="s">
        <v>15</v>
      </c>
      <c r="B1" s="169"/>
      <c r="C1" s="169"/>
      <c r="D1" s="169"/>
      <c r="E1" s="169"/>
      <c r="F1" s="169"/>
      <c r="G1" s="169"/>
      <c r="H1" s="169"/>
    </row>
    <row r="2" spans="1:13" ht="20.25" customHeight="1">
      <c r="A2" s="170" t="s">
        <v>13</v>
      </c>
      <c r="B2" s="170"/>
      <c r="C2" s="170"/>
      <c r="D2" s="170"/>
      <c r="E2" s="170"/>
      <c r="F2" s="170"/>
      <c r="G2" s="170"/>
      <c r="H2" s="170"/>
    </row>
    <row r="3" spans="1:13" ht="18" customHeight="1">
      <c r="A3" s="170" t="s">
        <v>14</v>
      </c>
      <c r="B3" s="170"/>
      <c r="C3" s="170"/>
      <c r="D3" s="170"/>
      <c r="E3" s="170"/>
      <c r="F3" s="170"/>
      <c r="G3" s="170"/>
      <c r="H3" s="170"/>
    </row>
    <row r="4" spans="1:13" ht="18">
      <c r="A4" s="21" t="s">
        <v>116</v>
      </c>
    </row>
    <row r="5" spans="1:13" ht="15">
      <c r="J5" s="27" t="s">
        <v>107</v>
      </c>
    </row>
    <row r="6" spans="1:13">
      <c r="A6" s="3" t="s">
        <v>122</v>
      </c>
    </row>
    <row r="7" spans="1:13" ht="15.75">
      <c r="J7" s="15" t="s">
        <v>108</v>
      </c>
      <c r="K7" s="35" t="s">
        <v>99</v>
      </c>
      <c r="L7" s="35" t="s">
        <v>100</v>
      </c>
      <c r="M7" s="35" t="s">
        <v>101</v>
      </c>
    </row>
    <row r="8" spans="1:13" ht="15.75">
      <c r="A8" s="9" t="s">
        <v>26</v>
      </c>
      <c r="B8" s="8"/>
      <c r="C8" s="8"/>
      <c r="D8" s="8"/>
      <c r="J8" s="53" t="s">
        <v>103</v>
      </c>
      <c r="K8" s="40" t="s">
        <v>104</v>
      </c>
      <c r="L8" s="40" t="s">
        <v>105</v>
      </c>
      <c r="M8" s="40" t="s">
        <v>106</v>
      </c>
    </row>
    <row r="9" spans="1:13" ht="15.75">
      <c r="A9" s="15"/>
      <c r="J9" s="22" t="s">
        <v>111</v>
      </c>
      <c r="K9" s="31">
        <v>6917.92</v>
      </c>
      <c r="L9" s="31">
        <v>6847.33</v>
      </c>
      <c r="M9" s="2">
        <v>4588.42</v>
      </c>
    </row>
    <row r="10" spans="1:13">
      <c r="B10" t="s">
        <v>71</v>
      </c>
      <c r="J10" s="22" t="s">
        <v>120</v>
      </c>
      <c r="K10" s="31">
        <f>K9*0.131</f>
        <v>906.24752000000001</v>
      </c>
      <c r="L10" s="31">
        <f>L9*0.131</f>
        <v>897.00022999999999</v>
      </c>
      <c r="M10" s="2">
        <f>M9*0.131</f>
        <v>601.08302000000003</v>
      </c>
    </row>
    <row r="11" spans="1:13">
      <c r="B11" t="s">
        <v>70</v>
      </c>
      <c r="K11" s="31"/>
      <c r="L11" s="31"/>
      <c r="M11" s="2"/>
    </row>
    <row r="12" spans="1:13">
      <c r="J12" s="22" t="s">
        <v>53</v>
      </c>
      <c r="K12" s="31"/>
      <c r="L12" s="31"/>
      <c r="M12" s="2"/>
    </row>
    <row r="13" spans="1:13" ht="15">
      <c r="C13" s="16" t="s">
        <v>27</v>
      </c>
      <c r="D13" s="19"/>
      <c r="J13" s="22" t="s">
        <v>77</v>
      </c>
      <c r="K13" s="42">
        <f>F43</f>
        <v>4038.57</v>
      </c>
      <c r="L13" s="42">
        <f>F44</f>
        <v>4038.57</v>
      </c>
      <c r="M13" s="14">
        <f>F45</f>
        <v>2692.38</v>
      </c>
    </row>
    <row r="14" spans="1:13">
      <c r="C14" s="7" t="s">
        <v>0</v>
      </c>
      <c r="D14" s="7" t="s">
        <v>4</v>
      </c>
      <c r="E14" s="7" t="s">
        <v>1</v>
      </c>
      <c r="F14" s="7" t="s">
        <v>2</v>
      </c>
      <c r="G14" s="7" t="s">
        <v>3</v>
      </c>
      <c r="K14" s="31"/>
      <c r="M14" s="2"/>
    </row>
    <row r="15" spans="1:13">
      <c r="C15" s="5">
        <v>1</v>
      </c>
      <c r="D15" s="6">
        <v>80</v>
      </c>
      <c r="E15" s="2">
        <v>48483.360000000001</v>
      </c>
      <c r="F15" s="2">
        <v>1857.6</v>
      </c>
      <c r="G15" s="2">
        <v>23.22</v>
      </c>
      <c r="J15" s="33" t="s">
        <v>55</v>
      </c>
      <c r="K15" s="34">
        <f>SUM(K9:K14)</f>
        <v>11862.737520000001</v>
      </c>
      <c r="L15" s="34">
        <f>SUM(L9:L14)</f>
        <v>11782.900229999999</v>
      </c>
      <c r="M15" s="4">
        <f>SUM(M9:M13)</f>
        <v>7881.8830200000002</v>
      </c>
    </row>
    <row r="16" spans="1:13">
      <c r="C16" s="5">
        <v>0.5</v>
      </c>
      <c r="D16" s="6">
        <v>40</v>
      </c>
      <c r="E16" s="2">
        <v>24241.68</v>
      </c>
      <c r="F16" s="2">
        <v>928.8</v>
      </c>
      <c r="G16" s="2">
        <v>23.22</v>
      </c>
      <c r="K16" s="31"/>
    </row>
    <row r="17" spans="1:13" ht="15.75">
      <c r="A17" s="58" t="s">
        <v>97</v>
      </c>
      <c r="C17" s="5">
        <v>0.4</v>
      </c>
      <c r="D17" s="6">
        <v>32</v>
      </c>
      <c r="E17" s="2">
        <v>19393.939999999999</v>
      </c>
      <c r="F17" s="2">
        <v>743.06</v>
      </c>
      <c r="G17" s="2">
        <v>23.22</v>
      </c>
      <c r="J17" s="37" t="s">
        <v>57</v>
      </c>
      <c r="K17" s="38"/>
      <c r="L17" s="39">
        <f>SUM(K15:M15)</f>
        <v>31527.520770000003</v>
      </c>
    </row>
    <row r="18" spans="1:13">
      <c r="A18" s="58" t="s">
        <v>96</v>
      </c>
      <c r="C18" s="5">
        <v>0.38</v>
      </c>
      <c r="D18" s="6">
        <v>30.4</v>
      </c>
      <c r="E18" s="2">
        <v>18424.240000000002</v>
      </c>
      <c r="F18" s="2">
        <v>705.9</v>
      </c>
      <c r="G18" s="2">
        <v>23.22</v>
      </c>
      <c r="K18" s="31"/>
    </row>
    <row r="19" spans="1:13">
      <c r="C19" s="5">
        <v>0.33</v>
      </c>
      <c r="D19" s="6">
        <v>26.4</v>
      </c>
      <c r="E19" s="2">
        <v>16000</v>
      </c>
      <c r="F19" s="2">
        <v>613.03</v>
      </c>
      <c r="G19" s="2">
        <v>23.22</v>
      </c>
    </row>
    <row r="20" spans="1:13" ht="15.75">
      <c r="C20" s="5">
        <v>0.25</v>
      </c>
      <c r="D20" s="6">
        <v>20</v>
      </c>
      <c r="E20" s="2">
        <v>12120.84</v>
      </c>
      <c r="F20" s="2">
        <v>464.4</v>
      </c>
      <c r="G20" s="2">
        <v>23.22</v>
      </c>
      <c r="J20" s="15" t="s">
        <v>109</v>
      </c>
      <c r="K20" s="35" t="s">
        <v>99</v>
      </c>
      <c r="L20" s="35" t="s">
        <v>100</v>
      </c>
      <c r="M20" s="35" t="s">
        <v>101</v>
      </c>
    </row>
    <row r="21" spans="1:13">
      <c r="C21" s="5"/>
      <c r="D21" s="6"/>
      <c r="E21" s="2"/>
      <c r="F21" s="2"/>
      <c r="G21" s="2"/>
      <c r="J21" s="53" t="s">
        <v>110</v>
      </c>
      <c r="K21" s="40" t="s">
        <v>104</v>
      </c>
      <c r="L21" s="40" t="s">
        <v>105</v>
      </c>
      <c r="M21" s="40" t="s">
        <v>106</v>
      </c>
    </row>
    <row r="22" spans="1:13">
      <c r="C22" s="5"/>
      <c r="D22" s="6"/>
      <c r="E22" s="2"/>
      <c r="F22" s="2"/>
      <c r="G22" s="2"/>
      <c r="J22" s="22" t="s">
        <v>112</v>
      </c>
      <c r="K22" s="31">
        <v>7281.99</v>
      </c>
      <c r="L22" s="31">
        <v>7207.68</v>
      </c>
      <c r="M22" s="2">
        <v>4829.8900000000003</v>
      </c>
    </row>
    <row r="23" spans="1:13">
      <c r="B23" s="5"/>
      <c r="C23" s="6"/>
      <c r="G23" s="2"/>
      <c r="J23" s="22" t="s">
        <v>120</v>
      </c>
      <c r="K23" s="31">
        <f>K22*0.131</f>
        <v>953.94069000000002</v>
      </c>
      <c r="L23" s="31">
        <f>L22*0.131</f>
        <v>944.20608000000004</v>
      </c>
      <c r="M23" s="2">
        <f>M22*0.131</f>
        <v>632.71559000000002</v>
      </c>
    </row>
    <row r="24" spans="1:13">
      <c r="A24" s="20" t="s">
        <v>102</v>
      </c>
      <c r="K24" s="31"/>
      <c r="L24" s="31"/>
      <c r="M24" s="2"/>
    </row>
    <row r="25" spans="1:13">
      <c r="J25" s="22" t="s">
        <v>53</v>
      </c>
      <c r="K25" s="31"/>
      <c r="L25" s="31"/>
      <c r="M25" s="2"/>
    </row>
    <row r="26" spans="1:13" ht="17.25">
      <c r="A26" s="17" t="s">
        <v>25</v>
      </c>
      <c r="B26" s="18"/>
      <c r="C26" s="18"/>
      <c r="D26" s="18"/>
      <c r="E26" s="18"/>
      <c r="F26" s="18"/>
      <c r="G26" s="18"/>
      <c r="H26" s="41"/>
      <c r="J26" s="22" t="s">
        <v>77</v>
      </c>
      <c r="K26" s="42">
        <f>F43</f>
        <v>4038.57</v>
      </c>
      <c r="L26" s="42">
        <f>F44</f>
        <v>4038.57</v>
      </c>
      <c r="M26" s="14">
        <f>F45</f>
        <v>2692.38</v>
      </c>
    </row>
    <row r="27" spans="1:13">
      <c r="A27" s="23"/>
      <c r="K27" s="31"/>
      <c r="M27" s="2"/>
    </row>
    <row r="28" spans="1:13">
      <c r="B28" t="s">
        <v>12</v>
      </c>
      <c r="J28" s="33" t="s">
        <v>55</v>
      </c>
      <c r="K28" s="34">
        <f>SUM(K22:K27)</f>
        <v>12274.500689999999</v>
      </c>
      <c r="L28" s="34">
        <f>SUM(L22:L27)</f>
        <v>12190.45608</v>
      </c>
      <c r="M28" s="4">
        <f>SUM(M22:M26)</f>
        <v>8154.9855900000002</v>
      </c>
    </row>
    <row r="29" spans="1:13">
      <c r="B29" t="s">
        <v>11</v>
      </c>
      <c r="K29" s="31"/>
    </row>
    <row r="30" spans="1:13" ht="15.75">
      <c r="B30" t="s">
        <v>8</v>
      </c>
      <c r="J30" s="37" t="s">
        <v>57</v>
      </c>
      <c r="K30" s="38"/>
      <c r="L30" s="39">
        <f>SUM(K28:M28)</f>
        <v>32619.942359999997</v>
      </c>
    </row>
    <row r="31" spans="1:13">
      <c r="B31" t="s">
        <v>16</v>
      </c>
    </row>
    <row r="32" spans="1:13">
      <c r="B32" t="s">
        <v>21</v>
      </c>
    </row>
    <row r="33" spans="2:13">
      <c r="J33" s="54" t="s">
        <v>113</v>
      </c>
    </row>
    <row r="34" spans="2:13">
      <c r="D34" s="3"/>
      <c r="E34" s="3"/>
      <c r="F34" s="4"/>
    </row>
    <row r="35" spans="2:13" ht="15">
      <c r="B35" s="12" t="s">
        <v>28</v>
      </c>
      <c r="E35" s="2"/>
    </row>
    <row r="36" spans="2:13" ht="15">
      <c r="B36" s="12" t="s">
        <v>121</v>
      </c>
      <c r="E36" s="2"/>
    </row>
    <row r="37" spans="2:13">
      <c r="B37" s="1"/>
      <c r="C37" s="3" t="s">
        <v>17</v>
      </c>
      <c r="E37" s="4">
        <f>SUM(E38+E39)</f>
        <v>528.41000000000008</v>
      </c>
    </row>
    <row r="38" spans="2:13">
      <c r="B38" s="1"/>
      <c r="C38" s="3" t="s">
        <v>18</v>
      </c>
      <c r="E38" s="2">
        <v>448.73</v>
      </c>
      <c r="F38" s="2" t="s">
        <v>24</v>
      </c>
    </row>
    <row r="39" spans="2:13" ht="15.75">
      <c r="C39" s="3" t="s">
        <v>19</v>
      </c>
      <c r="E39" s="2">
        <v>79.680000000000007</v>
      </c>
      <c r="F39" s="55" t="s">
        <v>114</v>
      </c>
      <c r="J39" s="43" t="s">
        <v>72</v>
      </c>
      <c r="K39" s="49" t="s">
        <v>75</v>
      </c>
      <c r="L39" s="56" t="s">
        <v>88</v>
      </c>
      <c r="M39" s="52" t="s">
        <v>115</v>
      </c>
    </row>
    <row r="40" spans="2:13">
      <c r="D40" s="3"/>
      <c r="E40" s="2"/>
      <c r="F40" s="2"/>
      <c r="J40" s="22" t="s">
        <v>74</v>
      </c>
      <c r="K40" s="50">
        <v>1138.94</v>
      </c>
      <c r="L40">
        <v>1138.94</v>
      </c>
      <c r="M40" s="44">
        <v>1138.94</v>
      </c>
    </row>
    <row r="41" spans="2:13">
      <c r="D41" s="3"/>
      <c r="F41" s="2"/>
      <c r="J41" s="22" t="s">
        <v>73</v>
      </c>
      <c r="K41" s="51">
        <v>110.34</v>
      </c>
      <c r="L41" s="57">
        <v>112.53</v>
      </c>
      <c r="M41" s="45">
        <v>114.19</v>
      </c>
    </row>
    <row r="42" spans="2:13" ht="15">
      <c r="B42" s="12" t="s">
        <v>22</v>
      </c>
      <c r="D42" s="1"/>
      <c r="G42" s="2"/>
      <c r="K42" s="50">
        <f>SUM(K40:K41)</f>
        <v>1249.28</v>
      </c>
      <c r="L42" s="22">
        <f>SUM(L40:L41)</f>
        <v>1251.47</v>
      </c>
      <c r="M42" s="46">
        <f>SUM(M40:M41)</f>
        <v>1253.1300000000001</v>
      </c>
    </row>
    <row r="43" spans="2:13">
      <c r="C43" s="22" t="s">
        <v>123</v>
      </c>
      <c r="F43" s="2">
        <f>E38*9</f>
        <v>4038.57</v>
      </c>
      <c r="K43" s="50"/>
    </row>
    <row r="44" spans="2:13">
      <c r="C44" s="22" t="s">
        <v>124</v>
      </c>
      <c r="F44" s="2">
        <f>E38*9</f>
        <v>4038.57</v>
      </c>
      <c r="J44" s="22" t="s">
        <v>78</v>
      </c>
    </row>
    <row r="45" spans="2:13">
      <c r="C45" s="22" t="s">
        <v>125</v>
      </c>
      <c r="F45" s="14">
        <f>E38*6</f>
        <v>2692.38</v>
      </c>
    </row>
    <row r="46" spans="2:13" ht="15">
      <c r="C46" s="29" t="s">
        <v>37</v>
      </c>
      <c r="D46" s="29"/>
      <c r="E46" s="24"/>
      <c r="F46" s="30">
        <f>SUM(F43:F45)</f>
        <v>10769.52</v>
      </c>
      <c r="J46" s="26"/>
    </row>
    <row r="47" spans="2:13">
      <c r="F47" s="2"/>
      <c r="J47" s="26"/>
    </row>
    <row r="48" spans="2:13" ht="15">
      <c r="B48" s="12" t="s">
        <v>23</v>
      </c>
    </row>
    <row r="49" spans="1:8">
      <c r="C49" s="22" t="s">
        <v>126</v>
      </c>
      <c r="F49" s="2">
        <f>E39*9</f>
        <v>717.12000000000012</v>
      </c>
    </row>
    <row r="50" spans="1:8">
      <c r="C50" s="22" t="s">
        <v>127</v>
      </c>
      <c r="F50" s="2">
        <f>E39*9</f>
        <v>717.12000000000012</v>
      </c>
    </row>
    <row r="51" spans="1:8">
      <c r="C51" s="22" t="s">
        <v>128</v>
      </c>
      <c r="F51" s="14">
        <f>E39*6</f>
        <v>478.08000000000004</v>
      </c>
    </row>
    <row r="52" spans="1:8" ht="15">
      <c r="C52" s="12" t="s">
        <v>38</v>
      </c>
      <c r="F52" s="13">
        <f>SUM(F49:F51)</f>
        <v>1912.3200000000002</v>
      </c>
    </row>
    <row r="53" spans="1:8" ht="15">
      <c r="C53" s="12"/>
      <c r="F53" s="13"/>
    </row>
    <row r="54" spans="1:8" ht="15">
      <c r="B54" s="26" t="s">
        <v>76</v>
      </c>
      <c r="C54" s="12"/>
      <c r="F54" s="13"/>
    </row>
    <row r="55" spans="1:8" ht="15">
      <c r="B55" s="54" t="s">
        <v>113</v>
      </c>
      <c r="C55" s="12"/>
      <c r="F55" s="13"/>
    </row>
    <row r="58" spans="1:8" ht="15.75">
      <c r="A58" s="10" t="s">
        <v>5</v>
      </c>
      <c r="B58" s="11"/>
      <c r="C58" s="11"/>
      <c r="D58" s="11"/>
      <c r="E58" s="11"/>
      <c r="F58" s="11"/>
      <c r="G58" s="11"/>
      <c r="H58" s="11"/>
    </row>
    <row r="59" spans="1:8" ht="15.75">
      <c r="A59" s="15"/>
    </row>
    <row r="60" spans="1:8" ht="15.75">
      <c r="A60" s="25">
        <v>41821</v>
      </c>
      <c r="B60" s="27" t="s">
        <v>29</v>
      </c>
    </row>
    <row r="61" spans="1:8" ht="15.75">
      <c r="A61" s="15"/>
      <c r="B61" s="22" t="s">
        <v>130</v>
      </c>
      <c r="C61" s="26"/>
      <c r="D61" s="24"/>
      <c r="E61" s="24"/>
      <c r="F61" s="24"/>
      <c r="G61" s="24"/>
    </row>
    <row r="62" spans="1:8" ht="15.75">
      <c r="A62" s="15"/>
      <c r="B62" s="22" t="s">
        <v>118</v>
      </c>
      <c r="C62" s="26"/>
      <c r="D62" s="24"/>
      <c r="E62" s="24"/>
      <c r="F62" s="24"/>
      <c r="G62" s="24"/>
    </row>
    <row r="63" spans="1:8" ht="15.75">
      <c r="A63" s="15"/>
      <c r="B63" s="22" t="s">
        <v>119</v>
      </c>
      <c r="C63" s="26"/>
      <c r="D63" s="24"/>
      <c r="E63" s="24"/>
      <c r="F63" s="24"/>
      <c r="G63" s="24"/>
    </row>
    <row r="64" spans="1:8" ht="15.75">
      <c r="A64" s="15"/>
      <c r="B64" s="22" t="s">
        <v>69</v>
      </c>
      <c r="C64" s="26"/>
      <c r="D64" s="24"/>
      <c r="E64" s="24"/>
      <c r="F64" s="24"/>
      <c r="G64" s="24"/>
    </row>
    <row r="65" spans="1:5" ht="15.75">
      <c r="A65" s="15"/>
      <c r="B65" s="22"/>
      <c r="C65" s="3"/>
    </row>
    <row r="67" spans="1:5" ht="15">
      <c r="B67" s="27" t="s">
        <v>31</v>
      </c>
    </row>
    <row r="69" spans="1:5">
      <c r="C69" t="s">
        <v>32</v>
      </c>
    </row>
    <row r="70" spans="1:5">
      <c r="C70" s="3" t="s">
        <v>117</v>
      </c>
      <c r="E70" s="2">
        <v>2096</v>
      </c>
    </row>
    <row r="73" spans="1:5">
      <c r="C73" s="2">
        <v>16000</v>
      </c>
      <c r="D73" s="22" t="s">
        <v>33</v>
      </c>
    </row>
    <row r="74" spans="1:5">
      <c r="C74" s="28">
        <v>2096</v>
      </c>
      <c r="D74" s="22" t="s">
        <v>34</v>
      </c>
    </row>
    <row r="75" spans="1:5">
      <c r="C75" s="4">
        <f>SUM(C73:C74)</f>
        <v>18096</v>
      </c>
      <c r="D75" s="22" t="s">
        <v>35</v>
      </c>
    </row>
    <row r="77" spans="1:5">
      <c r="B77" s="22" t="s">
        <v>129</v>
      </c>
    </row>
    <row r="83" spans="2:3">
      <c r="B83" s="5"/>
      <c r="C83" s="6"/>
    </row>
    <row r="84" spans="2:3">
      <c r="B84" s="5"/>
      <c r="C84" s="5"/>
    </row>
    <row r="85" spans="2:3">
      <c r="B85" s="5"/>
      <c r="C85" s="5"/>
    </row>
  </sheetData>
  <mergeCells count="3">
    <mergeCell ref="A1:H1"/>
    <mergeCell ref="A2:H2"/>
    <mergeCell ref="A3:H3"/>
  </mergeCells>
  <pageMargins left="0.7" right="0.7" top="0.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8"/>
  <sheetViews>
    <sheetView workbookViewId="0">
      <selection activeCell="K30" sqref="K30"/>
    </sheetView>
  </sheetViews>
  <sheetFormatPr defaultRowHeight="12.75"/>
  <cols>
    <col min="1" max="1" width="10.140625" bestFit="1" customWidth="1"/>
    <col min="3" max="3" width="11.140625" customWidth="1"/>
    <col min="4" max="4" width="17.42578125" customWidth="1"/>
    <col min="5" max="5" width="12.5703125" customWidth="1"/>
    <col min="6" max="6" width="11.42578125" customWidth="1"/>
    <col min="9" max="9" width="3.7109375" customWidth="1"/>
    <col min="10" max="10" width="37.7109375" customWidth="1"/>
    <col min="11" max="11" width="12.5703125" customWidth="1"/>
    <col min="12" max="12" width="13.85546875" customWidth="1"/>
    <col min="13" max="13" width="14.28515625" customWidth="1"/>
  </cols>
  <sheetData>
    <row r="1" spans="1:13" ht="20.25" customHeight="1">
      <c r="A1" s="169" t="s">
        <v>15</v>
      </c>
      <c r="B1" s="169"/>
      <c r="C1" s="169"/>
      <c r="D1" s="169"/>
      <c r="E1" s="169"/>
      <c r="F1" s="169"/>
      <c r="G1" s="169"/>
      <c r="H1" s="169"/>
    </row>
    <row r="2" spans="1:13" ht="20.25" customHeight="1">
      <c r="A2" s="170" t="s">
        <v>13</v>
      </c>
      <c r="B2" s="170"/>
      <c r="C2" s="170"/>
      <c r="D2" s="170"/>
      <c r="E2" s="170"/>
      <c r="F2" s="170"/>
      <c r="G2" s="170"/>
      <c r="H2" s="170"/>
    </row>
    <row r="3" spans="1:13" ht="18" customHeight="1">
      <c r="A3" s="170" t="s">
        <v>14</v>
      </c>
      <c r="B3" s="170"/>
      <c r="C3" s="170"/>
      <c r="D3" s="170"/>
      <c r="E3" s="170"/>
      <c r="F3" s="170"/>
      <c r="G3" s="170"/>
      <c r="H3" s="170"/>
    </row>
    <row r="4" spans="1:13" ht="18">
      <c r="A4" s="21" t="s">
        <v>79</v>
      </c>
    </row>
    <row r="5" spans="1:13" ht="15">
      <c r="J5" s="27" t="s">
        <v>107</v>
      </c>
    </row>
    <row r="6" spans="1:13">
      <c r="A6" s="3" t="s">
        <v>98</v>
      </c>
    </row>
    <row r="7" spans="1:13" ht="15.75">
      <c r="J7" s="15" t="s">
        <v>108</v>
      </c>
      <c r="K7" s="35" t="s">
        <v>99</v>
      </c>
      <c r="L7" s="35" t="s">
        <v>100</v>
      </c>
      <c r="M7" s="35" t="s">
        <v>101</v>
      </c>
    </row>
    <row r="8" spans="1:13" ht="15.75">
      <c r="A8" s="9" t="s">
        <v>26</v>
      </c>
      <c r="B8" s="8"/>
      <c r="C8" s="8"/>
      <c r="D8" s="8"/>
      <c r="K8" s="40" t="s">
        <v>104</v>
      </c>
      <c r="L8" s="40" t="s">
        <v>105</v>
      </c>
      <c r="M8" s="40" t="s">
        <v>106</v>
      </c>
    </row>
    <row r="9" spans="1:13" ht="15.75">
      <c r="A9" s="15"/>
      <c r="J9" s="22" t="s">
        <v>56</v>
      </c>
      <c r="K9" s="31">
        <v>6917.92</v>
      </c>
      <c r="L9" s="31">
        <v>6847.33</v>
      </c>
      <c r="M9" s="2">
        <v>4588.42</v>
      </c>
    </row>
    <row r="10" spans="1:13">
      <c r="B10" t="s">
        <v>71</v>
      </c>
      <c r="J10" s="22" t="s">
        <v>84</v>
      </c>
      <c r="K10" s="31">
        <f>K9*0.072</f>
        <v>498.09023999999999</v>
      </c>
      <c r="L10" s="31">
        <f>L9*0.072</f>
        <v>493.00775999999996</v>
      </c>
      <c r="M10" s="2">
        <f>M9*0.072</f>
        <v>330.36624</v>
      </c>
    </row>
    <row r="11" spans="1:13">
      <c r="B11" t="s">
        <v>70</v>
      </c>
      <c r="K11" s="31"/>
      <c r="L11" s="31"/>
      <c r="M11" s="2"/>
    </row>
    <row r="12" spans="1:13">
      <c r="J12" s="22" t="s">
        <v>53</v>
      </c>
      <c r="K12" s="31"/>
      <c r="L12" s="31"/>
      <c r="M12" s="2"/>
    </row>
    <row r="13" spans="1:13" ht="15">
      <c r="C13" s="16" t="s">
        <v>27</v>
      </c>
      <c r="D13" s="19"/>
      <c r="J13" s="22" t="s">
        <v>77</v>
      </c>
      <c r="K13" s="42">
        <f>F46</f>
        <v>4038.57</v>
      </c>
      <c r="L13" s="42">
        <f>F47</f>
        <v>4038.57</v>
      </c>
      <c r="M13" s="14">
        <f>F48</f>
        <v>2692.38</v>
      </c>
    </row>
    <row r="14" spans="1:13">
      <c r="C14" s="7" t="s">
        <v>0</v>
      </c>
      <c r="D14" s="7" t="s">
        <v>4</v>
      </c>
      <c r="E14" s="7" t="s">
        <v>1</v>
      </c>
      <c r="F14" s="7" t="s">
        <v>2</v>
      </c>
      <c r="G14" s="7" t="s">
        <v>3</v>
      </c>
      <c r="K14" s="31"/>
      <c r="M14" s="2"/>
    </row>
    <row r="15" spans="1:13">
      <c r="C15" s="5">
        <v>1</v>
      </c>
      <c r="D15" s="6">
        <v>80</v>
      </c>
      <c r="E15" s="2">
        <v>48483.360000000001</v>
      </c>
      <c r="F15" s="2">
        <v>1857.6</v>
      </c>
      <c r="G15" s="2">
        <v>23.22</v>
      </c>
      <c r="J15" s="33" t="s">
        <v>55</v>
      </c>
      <c r="K15" s="34">
        <f>SUM(K9:K14)</f>
        <v>11454.580239999999</v>
      </c>
      <c r="L15" s="34">
        <f>SUM(L9:L14)</f>
        <v>11378.90776</v>
      </c>
      <c r="M15" s="4">
        <f>SUM(M9:M13)</f>
        <v>7611.1662400000005</v>
      </c>
    </row>
    <row r="16" spans="1:13">
      <c r="C16" s="5">
        <v>0.5</v>
      </c>
      <c r="D16" s="6">
        <v>40</v>
      </c>
      <c r="E16" s="2">
        <v>24241.68</v>
      </c>
      <c r="F16" s="2">
        <v>928.8</v>
      </c>
      <c r="G16" s="2">
        <v>23.22</v>
      </c>
      <c r="K16" s="31"/>
    </row>
    <row r="17" spans="1:12" ht="15.75">
      <c r="A17" s="50" t="s">
        <v>97</v>
      </c>
      <c r="C17" s="5">
        <v>0.4</v>
      </c>
      <c r="D17" s="6">
        <v>32</v>
      </c>
      <c r="E17" s="2">
        <v>19393.939999999999</v>
      </c>
      <c r="F17" s="2">
        <v>743.06</v>
      </c>
      <c r="G17" s="2">
        <v>23.22</v>
      </c>
      <c r="J17" s="37" t="s">
        <v>57</v>
      </c>
      <c r="K17" s="38"/>
      <c r="L17" s="39">
        <f>SUM(K15:M15)</f>
        <v>30444.654239999996</v>
      </c>
    </row>
    <row r="18" spans="1:12">
      <c r="A18" s="50" t="s">
        <v>96</v>
      </c>
      <c r="C18" s="5">
        <v>0.38</v>
      </c>
      <c r="D18" s="6">
        <v>30.4</v>
      </c>
      <c r="E18" s="2">
        <v>18424.240000000002</v>
      </c>
      <c r="F18" s="2">
        <v>705.9</v>
      </c>
      <c r="G18" s="2">
        <v>23.22</v>
      </c>
      <c r="K18" s="31"/>
    </row>
    <row r="19" spans="1:12">
      <c r="C19" s="5">
        <v>0.33</v>
      </c>
      <c r="D19" s="6">
        <v>26.4</v>
      </c>
      <c r="E19" s="2">
        <v>16000</v>
      </c>
      <c r="F19" s="2">
        <v>613.03</v>
      </c>
      <c r="G19" s="2">
        <v>23.22</v>
      </c>
    </row>
    <row r="20" spans="1:12">
      <c r="C20" s="5">
        <v>0.25</v>
      </c>
      <c r="D20" s="6">
        <v>20</v>
      </c>
      <c r="E20" s="2">
        <v>12120.84</v>
      </c>
      <c r="F20" s="2">
        <v>464.4</v>
      </c>
      <c r="G20" s="2">
        <v>23.22</v>
      </c>
    </row>
    <row r="21" spans="1:12">
      <c r="C21" s="5"/>
      <c r="D21" s="6"/>
      <c r="E21" s="2"/>
      <c r="F21" s="2"/>
      <c r="G21" s="2"/>
      <c r="J21" s="36" t="s">
        <v>103</v>
      </c>
    </row>
    <row r="22" spans="1:12">
      <c r="C22" s="5"/>
      <c r="D22" s="6"/>
      <c r="E22" s="2"/>
      <c r="F22" s="2"/>
      <c r="G22" s="2"/>
    </row>
    <row r="23" spans="1:12">
      <c r="B23" s="5"/>
      <c r="C23" s="6"/>
      <c r="G23" s="2"/>
    </row>
    <row r="24" spans="1:12">
      <c r="A24" s="20" t="s">
        <v>102</v>
      </c>
    </row>
    <row r="25" spans="1:12" ht="15.75">
      <c r="J25" s="43" t="s">
        <v>72</v>
      </c>
      <c r="K25" s="49" t="s">
        <v>75</v>
      </c>
      <c r="L25" s="52" t="s">
        <v>88</v>
      </c>
    </row>
    <row r="26" spans="1:12" ht="15.75">
      <c r="A26" s="17" t="s">
        <v>25</v>
      </c>
      <c r="B26" s="18"/>
      <c r="C26" s="18"/>
      <c r="D26" s="18"/>
      <c r="E26" s="18"/>
      <c r="F26" s="18"/>
      <c r="G26" s="18"/>
      <c r="H26" s="41"/>
      <c r="J26" s="22" t="s">
        <v>74</v>
      </c>
      <c r="K26" s="50">
        <v>1138.94</v>
      </c>
      <c r="L26" s="44">
        <v>1138.94</v>
      </c>
    </row>
    <row r="27" spans="1:12">
      <c r="A27" s="23"/>
      <c r="J27" s="22" t="s">
        <v>73</v>
      </c>
      <c r="K27" s="51">
        <v>110.34</v>
      </c>
      <c r="L27" s="45">
        <v>112.53</v>
      </c>
    </row>
    <row r="28" spans="1:12">
      <c r="B28" t="s">
        <v>12</v>
      </c>
      <c r="K28" s="50">
        <f>SUM(K26:K27)</f>
        <v>1249.28</v>
      </c>
      <c r="L28" s="46">
        <f>SUM(L26:L27)</f>
        <v>1251.47</v>
      </c>
    </row>
    <row r="29" spans="1:12">
      <c r="B29" t="s">
        <v>11</v>
      </c>
      <c r="K29" s="50"/>
    </row>
    <row r="30" spans="1:12">
      <c r="B30" t="s">
        <v>8</v>
      </c>
      <c r="J30" s="22" t="s">
        <v>78</v>
      </c>
    </row>
    <row r="31" spans="1:12">
      <c r="B31" t="s">
        <v>16</v>
      </c>
    </row>
    <row r="32" spans="1:12">
      <c r="B32" t="s">
        <v>21</v>
      </c>
    </row>
    <row r="34" spans="2:11">
      <c r="B34" t="s">
        <v>9</v>
      </c>
    </row>
    <row r="35" spans="2:11">
      <c r="B35" t="s">
        <v>10</v>
      </c>
    </row>
    <row r="37" spans="2:11">
      <c r="D37" s="3"/>
      <c r="E37" s="3"/>
      <c r="F37" s="4"/>
    </row>
    <row r="38" spans="2:11" ht="15">
      <c r="B38" s="12" t="s">
        <v>28</v>
      </c>
      <c r="E38" s="2"/>
      <c r="J38" s="48" t="s">
        <v>86</v>
      </c>
      <c r="K38" s="44"/>
    </row>
    <row r="39" spans="2:11" ht="15">
      <c r="B39" s="12" t="s">
        <v>89</v>
      </c>
      <c r="E39" s="2"/>
      <c r="J39" s="48" t="s">
        <v>87</v>
      </c>
      <c r="K39" s="44"/>
    </row>
    <row r="40" spans="2:11">
      <c r="B40" s="1"/>
      <c r="C40" s="3" t="s">
        <v>17</v>
      </c>
      <c r="E40" s="4">
        <f>SUM(E41+E42)</f>
        <v>526.75</v>
      </c>
    </row>
    <row r="41" spans="2:11">
      <c r="B41" s="1"/>
      <c r="C41" s="3" t="s">
        <v>18</v>
      </c>
      <c r="E41" s="2">
        <v>448.73</v>
      </c>
      <c r="F41" s="2" t="s">
        <v>24</v>
      </c>
    </row>
    <row r="42" spans="2:11">
      <c r="C42" s="3" t="s">
        <v>19</v>
      </c>
      <c r="E42" s="2">
        <v>78.02</v>
      </c>
      <c r="F42" s="2" t="s">
        <v>7</v>
      </c>
      <c r="J42" s="47"/>
    </row>
    <row r="43" spans="2:11">
      <c r="D43" s="3"/>
      <c r="E43" s="2"/>
      <c r="F43" s="2"/>
    </row>
    <row r="44" spans="2:11">
      <c r="D44" s="3"/>
      <c r="F44" s="2"/>
    </row>
    <row r="45" spans="2:11" ht="15">
      <c r="B45" s="12" t="s">
        <v>22</v>
      </c>
      <c r="D45" s="1"/>
      <c r="G45" s="2"/>
    </row>
    <row r="46" spans="2:11">
      <c r="C46" s="22" t="s">
        <v>90</v>
      </c>
      <c r="F46" s="2">
        <f>E41*9</f>
        <v>4038.57</v>
      </c>
    </row>
    <row r="47" spans="2:11">
      <c r="C47" s="22" t="s">
        <v>91</v>
      </c>
      <c r="F47" s="2">
        <f>E41*9</f>
        <v>4038.57</v>
      </c>
    </row>
    <row r="48" spans="2:11">
      <c r="C48" s="22" t="s">
        <v>92</v>
      </c>
      <c r="F48" s="14">
        <f>E41*6</f>
        <v>2692.38</v>
      </c>
    </row>
    <row r="49" spans="1:8" ht="15">
      <c r="C49" s="29" t="s">
        <v>37</v>
      </c>
      <c r="D49" s="29"/>
      <c r="E49" s="24"/>
      <c r="F49" s="30">
        <f>SUM(F46:F48)</f>
        <v>10769.52</v>
      </c>
    </row>
    <row r="50" spans="1:8">
      <c r="F50" s="2"/>
    </row>
    <row r="51" spans="1:8" ht="15">
      <c r="B51" s="12" t="s">
        <v>23</v>
      </c>
    </row>
    <row r="52" spans="1:8">
      <c r="C52" s="22" t="s">
        <v>93</v>
      </c>
      <c r="F52" s="2">
        <f>E42*9</f>
        <v>702.18</v>
      </c>
    </row>
    <row r="53" spans="1:8">
      <c r="C53" s="22" t="s">
        <v>94</v>
      </c>
      <c r="F53" s="2">
        <f>E42*9</f>
        <v>702.18</v>
      </c>
    </row>
    <row r="54" spans="1:8">
      <c r="C54" s="22" t="s">
        <v>95</v>
      </c>
      <c r="F54" s="14">
        <f>E42*6</f>
        <v>468.12</v>
      </c>
    </row>
    <row r="55" spans="1:8" ht="15">
      <c r="C55" s="12" t="s">
        <v>38</v>
      </c>
      <c r="F55" s="13">
        <f>SUM(F52:F54)</f>
        <v>1872.48</v>
      </c>
    </row>
    <row r="56" spans="1:8" ht="15">
      <c r="C56" s="12"/>
      <c r="F56" s="13"/>
    </row>
    <row r="57" spans="1:8" ht="15">
      <c r="B57" s="26" t="s">
        <v>76</v>
      </c>
      <c r="C57" s="12"/>
      <c r="F57" s="13"/>
    </row>
    <row r="58" spans="1:8" ht="15">
      <c r="C58" s="12"/>
      <c r="F58" s="13"/>
    </row>
    <row r="61" spans="1:8" ht="15.75">
      <c r="A61" s="10" t="s">
        <v>5</v>
      </c>
      <c r="B61" s="11"/>
      <c r="C61" s="11"/>
      <c r="D61" s="11"/>
      <c r="E61" s="11"/>
      <c r="F61" s="11"/>
      <c r="G61" s="11"/>
      <c r="H61" s="11"/>
    </row>
    <row r="62" spans="1:8" ht="15.75">
      <c r="A62" s="15"/>
    </row>
    <row r="63" spans="1:8" ht="15.75">
      <c r="A63" s="25">
        <v>41456</v>
      </c>
      <c r="B63" s="27" t="s">
        <v>29</v>
      </c>
    </row>
    <row r="64" spans="1:8" ht="15.75">
      <c r="A64" s="15"/>
      <c r="B64" s="22" t="s">
        <v>81</v>
      </c>
      <c r="C64" s="26"/>
      <c r="D64" s="24"/>
      <c r="E64" s="24"/>
      <c r="F64" s="24"/>
      <c r="G64" s="24"/>
    </row>
    <row r="65" spans="1:7" ht="15.75">
      <c r="A65" s="15"/>
      <c r="B65" s="22" t="s">
        <v>85</v>
      </c>
      <c r="C65" s="26"/>
      <c r="D65" s="24"/>
      <c r="E65" s="24"/>
      <c r="F65" s="24"/>
      <c r="G65" s="24"/>
    </row>
    <row r="66" spans="1:7" ht="15.75">
      <c r="A66" s="15"/>
      <c r="B66" s="22" t="s">
        <v>82</v>
      </c>
      <c r="C66" s="26"/>
      <c r="D66" s="24"/>
      <c r="E66" s="24"/>
      <c r="F66" s="24"/>
      <c r="G66" s="24"/>
    </row>
    <row r="67" spans="1:7" ht="15.75">
      <c r="A67" s="15"/>
      <c r="B67" s="22" t="s">
        <v>69</v>
      </c>
      <c r="C67" s="26"/>
      <c r="D67" s="24"/>
      <c r="E67" s="24"/>
      <c r="F67" s="24"/>
      <c r="G67" s="24"/>
    </row>
    <row r="68" spans="1:7" ht="15.75">
      <c r="A68" s="15"/>
      <c r="B68" s="22"/>
      <c r="C68" s="3"/>
    </row>
    <row r="70" spans="1:7" ht="15">
      <c r="B70" s="27" t="s">
        <v>31</v>
      </c>
    </row>
    <row r="72" spans="1:7">
      <c r="C72" t="s">
        <v>32</v>
      </c>
    </row>
    <row r="73" spans="1:7">
      <c r="C73" s="3" t="s">
        <v>80</v>
      </c>
      <c r="E73" s="2">
        <v>1152</v>
      </c>
    </row>
    <row r="76" spans="1:7">
      <c r="C76" s="2">
        <v>16000</v>
      </c>
      <c r="D76" s="22" t="s">
        <v>33</v>
      </c>
    </row>
    <row r="77" spans="1:7">
      <c r="C77" s="28">
        <v>1152</v>
      </c>
      <c r="D77" s="22" t="s">
        <v>34</v>
      </c>
    </row>
    <row r="78" spans="1:7">
      <c r="C78" s="4">
        <f>SUM(C76:C77)</f>
        <v>17152</v>
      </c>
      <c r="D78" s="22" t="s">
        <v>35</v>
      </c>
    </row>
    <row r="80" spans="1:7">
      <c r="B80" s="22" t="s">
        <v>83</v>
      </c>
    </row>
    <row r="86" spans="2:3">
      <c r="B86" s="5"/>
      <c r="C86" s="6"/>
    </row>
    <row r="87" spans="2:3">
      <c r="B87" s="5"/>
      <c r="C87" s="5"/>
    </row>
    <row r="88" spans="2:3">
      <c r="B88" s="5"/>
      <c r="C88" s="5"/>
    </row>
  </sheetData>
  <mergeCells count="3">
    <mergeCell ref="A1:H1"/>
    <mergeCell ref="A2:H2"/>
    <mergeCell ref="A3:H3"/>
  </mergeCells>
  <phoneticPr fontId="4" type="noConversion"/>
  <pageMargins left="0.75" right="0.75" top="0.25" bottom="0.5" header="0.5" footer="0.5"/>
  <pageSetup scale="95" orientation="portrait" r:id="rId1"/>
  <headerFooter alignWithMargins="0"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86"/>
  <sheetViews>
    <sheetView topLeftCell="A4" workbookViewId="0">
      <selection activeCell="K30" sqref="K30"/>
    </sheetView>
  </sheetViews>
  <sheetFormatPr defaultRowHeight="12.75"/>
  <cols>
    <col min="1" max="1" width="10.140625" bestFit="1" customWidth="1"/>
    <col min="3" max="3" width="11.140625" customWidth="1"/>
    <col min="4" max="4" width="17.42578125" customWidth="1"/>
    <col min="5" max="5" width="12.5703125" customWidth="1"/>
    <col min="6" max="6" width="11.42578125" customWidth="1"/>
    <col min="9" max="9" width="5" customWidth="1"/>
    <col min="10" max="10" width="37.7109375" customWidth="1"/>
    <col min="11" max="11" width="11.140625" customWidth="1"/>
    <col min="12" max="12" width="13.85546875" customWidth="1"/>
    <col min="13" max="13" width="14.28515625" customWidth="1"/>
  </cols>
  <sheetData>
    <row r="1" spans="1:13" ht="20.25" customHeight="1">
      <c r="A1" s="169" t="s">
        <v>15</v>
      </c>
      <c r="B1" s="169"/>
      <c r="C1" s="169"/>
      <c r="D1" s="169"/>
      <c r="E1" s="169"/>
      <c r="F1" s="169"/>
      <c r="G1" s="169"/>
      <c r="H1" s="169"/>
    </row>
    <row r="2" spans="1:13" ht="20.25" customHeight="1">
      <c r="A2" s="170" t="s">
        <v>13</v>
      </c>
      <c r="B2" s="170"/>
      <c r="C2" s="170"/>
      <c r="D2" s="170"/>
      <c r="E2" s="170"/>
      <c r="F2" s="170"/>
      <c r="G2" s="170"/>
      <c r="H2" s="170"/>
    </row>
    <row r="3" spans="1:13" ht="18" customHeight="1">
      <c r="A3" s="170" t="s">
        <v>14</v>
      </c>
      <c r="B3" s="170"/>
      <c r="C3" s="170"/>
      <c r="D3" s="170"/>
      <c r="E3" s="170"/>
      <c r="F3" s="170"/>
      <c r="G3" s="170"/>
      <c r="H3" s="170"/>
    </row>
    <row r="4" spans="1:13" ht="18">
      <c r="A4" s="21" t="s">
        <v>41</v>
      </c>
    </row>
    <row r="5" spans="1:13" ht="15">
      <c r="J5" s="27" t="s">
        <v>51</v>
      </c>
    </row>
    <row r="6" spans="1:13">
      <c r="A6" s="3" t="s">
        <v>64</v>
      </c>
    </row>
    <row r="7" spans="1:13">
      <c r="K7" s="35" t="s">
        <v>50</v>
      </c>
      <c r="L7" s="35" t="s">
        <v>48</v>
      </c>
      <c r="M7" s="35" t="s">
        <v>49</v>
      </c>
    </row>
    <row r="8" spans="1:13" ht="15.75">
      <c r="A8" s="9" t="s">
        <v>26</v>
      </c>
      <c r="B8" s="8"/>
      <c r="C8" s="8"/>
      <c r="D8" s="8"/>
      <c r="K8" s="40" t="s">
        <v>58</v>
      </c>
      <c r="L8" s="40" t="s">
        <v>59</v>
      </c>
      <c r="M8" s="40" t="s">
        <v>60</v>
      </c>
    </row>
    <row r="9" spans="1:13" ht="15.75">
      <c r="A9" s="15"/>
      <c r="J9" s="22" t="s">
        <v>56</v>
      </c>
      <c r="K9" s="31">
        <v>6131</v>
      </c>
      <c r="L9" s="31">
        <v>5947</v>
      </c>
      <c r="M9" s="2">
        <v>4046</v>
      </c>
    </row>
    <row r="10" spans="1:13">
      <c r="B10" t="s">
        <v>20</v>
      </c>
      <c r="J10" s="22" t="s">
        <v>67</v>
      </c>
      <c r="K10" s="31">
        <f>K9*0.044</f>
        <v>269.76400000000001</v>
      </c>
      <c r="L10" s="31">
        <f>L9*0.044</f>
        <v>261.66800000000001</v>
      </c>
      <c r="M10" s="2">
        <f>M9*0.044</f>
        <v>178.024</v>
      </c>
    </row>
    <row r="11" spans="1:13">
      <c r="B11" t="s">
        <v>6</v>
      </c>
      <c r="K11" s="31"/>
      <c r="L11" s="31"/>
      <c r="M11" s="2"/>
    </row>
    <row r="12" spans="1:13">
      <c r="J12" s="22" t="s">
        <v>53</v>
      </c>
      <c r="K12" s="31"/>
      <c r="L12" s="31"/>
      <c r="M12" s="2"/>
    </row>
    <row r="13" spans="1:13" ht="15">
      <c r="C13" s="16" t="s">
        <v>27</v>
      </c>
      <c r="D13" s="19"/>
      <c r="J13" s="22" t="s">
        <v>52</v>
      </c>
      <c r="K13" s="32">
        <v>3846.33</v>
      </c>
      <c r="L13" s="32">
        <v>3846.33</v>
      </c>
      <c r="M13" s="14">
        <v>2564.2199999999998</v>
      </c>
    </row>
    <row r="14" spans="1:13">
      <c r="C14" s="7" t="s">
        <v>0</v>
      </c>
      <c r="D14" s="7" t="s">
        <v>4</v>
      </c>
      <c r="E14" s="7" t="s">
        <v>1</v>
      </c>
      <c r="F14" s="7" t="s">
        <v>2</v>
      </c>
      <c r="G14" s="7" t="s">
        <v>3</v>
      </c>
      <c r="K14" s="31"/>
      <c r="M14" s="2"/>
    </row>
    <row r="15" spans="1:13">
      <c r="C15" s="5">
        <v>1</v>
      </c>
      <c r="D15" s="6">
        <v>80</v>
      </c>
      <c r="E15" s="2">
        <v>48483.360000000001</v>
      </c>
      <c r="F15" s="2">
        <v>1857.6</v>
      </c>
      <c r="G15" s="2">
        <v>23.22</v>
      </c>
      <c r="J15" s="33" t="s">
        <v>55</v>
      </c>
      <c r="K15" s="34">
        <f>SUM(K9:K14)</f>
        <v>10247.094000000001</v>
      </c>
      <c r="L15" s="34">
        <f>SUM(L9:L14)</f>
        <v>10054.998</v>
      </c>
      <c r="M15" s="4">
        <f>SUM(M9:M13)</f>
        <v>6788.2440000000006</v>
      </c>
    </row>
    <row r="16" spans="1:13">
      <c r="C16" s="5">
        <v>0.5</v>
      </c>
      <c r="D16" s="6">
        <v>40</v>
      </c>
      <c r="E16" s="2">
        <v>24241.68</v>
      </c>
      <c r="F16" s="2">
        <v>928.8</v>
      </c>
      <c r="G16" s="2">
        <v>23.22</v>
      </c>
      <c r="K16" s="31"/>
    </row>
    <row r="17" spans="1:12" ht="15.75">
      <c r="C17" s="5">
        <v>0.33</v>
      </c>
      <c r="D17" s="6">
        <v>26.4</v>
      </c>
      <c r="E17" s="2">
        <v>16000</v>
      </c>
      <c r="F17" s="2">
        <v>613.03</v>
      </c>
      <c r="G17" s="2">
        <v>23.22</v>
      </c>
      <c r="J17" s="37" t="s">
        <v>57</v>
      </c>
      <c r="K17" s="38"/>
      <c r="L17" s="39">
        <f>SUM(K15:M15)</f>
        <v>27090.336000000003</v>
      </c>
    </row>
    <row r="18" spans="1:12">
      <c r="C18" s="5">
        <v>0.25</v>
      </c>
      <c r="D18" s="6">
        <v>20</v>
      </c>
      <c r="E18" s="2">
        <v>12120.84</v>
      </c>
      <c r="F18" s="2">
        <v>464.4</v>
      </c>
      <c r="G18" s="2">
        <v>23.22</v>
      </c>
    </row>
    <row r="19" spans="1:12">
      <c r="C19" s="5"/>
      <c r="D19" s="6"/>
      <c r="E19" s="2"/>
      <c r="F19" s="2"/>
      <c r="G19" s="2"/>
      <c r="J19" s="36" t="s">
        <v>54</v>
      </c>
    </row>
    <row r="20" spans="1:12">
      <c r="C20" s="5"/>
      <c r="D20" s="6"/>
      <c r="E20" s="2"/>
      <c r="F20" s="2"/>
      <c r="G20" s="2"/>
    </row>
    <row r="21" spans="1:12">
      <c r="B21" s="5"/>
      <c r="C21" s="6"/>
      <c r="G21" s="2"/>
    </row>
    <row r="22" spans="1:12">
      <c r="A22" s="20" t="s">
        <v>36</v>
      </c>
    </row>
    <row r="24" spans="1:12" ht="15.75">
      <c r="A24" s="17" t="s">
        <v>25</v>
      </c>
      <c r="B24" s="18"/>
      <c r="C24" s="18"/>
      <c r="D24" s="18"/>
      <c r="E24" s="18"/>
      <c r="F24" s="18"/>
      <c r="G24" s="18"/>
      <c r="H24" s="41" t="s">
        <v>68</v>
      </c>
    </row>
    <row r="25" spans="1:12">
      <c r="A25" s="23"/>
    </row>
    <row r="26" spans="1:12">
      <c r="B26" t="s">
        <v>12</v>
      </c>
    </row>
    <row r="27" spans="1:12">
      <c r="B27" t="s">
        <v>11</v>
      </c>
    </row>
    <row r="28" spans="1:12">
      <c r="B28" t="s">
        <v>8</v>
      </c>
    </row>
    <row r="29" spans="1:12">
      <c r="B29" t="s">
        <v>16</v>
      </c>
    </row>
    <row r="30" spans="1:12">
      <c r="B30" t="s">
        <v>21</v>
      </c>
    </row>
    <row r="32" spans="1:12">
      <c r="B32" t="s">
        <v>9</v>
      </c>
    </row>
    <row r="33" spans="2:12">
      <c r="B33" t="s">
        <v>10</v>
      </c>
    </row>
    <row r="35" spans="2:12">
      <c r="D35" s="3"/>
      <c r="E35" s="3"/>
      <c r="F35" s="4"/>
    </row>
    <row r="36" spans="2:12" ht="15">
      <c r="B36" s="12" t="s">
        <v>28</v>
      </c>
      <c r="E36" s="2"/>
    </row>
    <row r="37" spans="2:12" ht="15">
      <c r="B37" s="12" t="s">
        <v>40</v>
      </c>
      <c r="E37" s="2"/>
    </row>
    <row r="38" spans="2:12">
      <c r="B38" s="1"/>
      <c r="C38" s="3" t="s">
        <v>17</v>
      </c>
      <c r="E38" s="4">
        <v>498.09</v>
      </c>
    </row>
    <row r="39" spans="2:12">
      <c r="B39" s="1"/>
      <c r="C39" s="3" t="s">
        <v>18</v>
      </c>
      <c r="E39" s="2">
        <v>427.37</v>
      </c>
      <c r="F39" s="2" t="s">
        <v>24</v>
      </c>
    </row>
    <row r="40" spans="2:12">
      <c r="C40" s="3" t="s">
        <v>19</v>
      </c>
      <c r="E40" s="2">
        <v>70.72</v>
      </c>
      <c r="F40" s="2" t="s">
        <v>7</v>
      </c>
      <c r="L40">
        <f>SUM(L32:L39)</f>
        <v>0</v>
      </c>
    </row>
    <row r="41" spans="2:12">
      <c r="D41" s="3"/>
      <c r="E41" s="2"/>
      <c r="F41" s="2"/>
    </row>
    <row r="42" spans="2:12">
      <c r="D42" s="3"/>
      <c r="F42" s="2"/>
    </row>
    <row r="43" spans="2:12" ht="15">
      <c r="B43" s="12" t="s">
        <v>22</v>
      </c>
      <c r="D43" s="1"/>
      <c r="G43" s="2"/>
    </row>
    <row r="44" spans="2:12">
      <c r="C44" s="22" t="s">
        <v>42</v>
      </c>
      <c r="F44" s="2">
        <f>E39*9</f>
        <v>3846.33</v>
      </c>
    </row>
    <row r="45" spans="2:12">
      <c r="C45" s="22" t="s">
        <v>43</v>
      </c>
      <c r="F45" s="2">
        <f>E39*9</f>
        <v>3846.33</v>
      </c>
    </row>
    <row r="46" spans="2:12">
      <c r="C46" s="22" t="s">
        <v>44</v>
      </c>
      <c r="F46" s="14">
        <f>E39*6</f>
        <v>2564.2200000000003</v>
      </c>
    </row>
    <row r="47" spans="2:12" ht="15">
      <c r="C47" s="29" t="s">
        <v>37</v>
      </c>
      <c r="D47" s="29"/>
      <c r="E47" s="24"/>
      <c r="F47" s="30">
        <f>SUM(F44:F46)</f>
        <v>10256.880000000001</v>
      </c>
    </row>
    <row r="48" spans="2:12">
      <c r="F48" s="2"/>
    </row>
    <row r="49" spans="1:8" ht="15">
      <c r="B49" s="12" t="s">
        <v>23</v>
      </c>
    </row>
    <row r="50" spans="1:8">
      <c r="C50" s="22" t="s">
        <v>45</v>
      </c>
      <c r="F50" s="2">
        <f>E40*9</f>
        <v>636.48</v>
      </c>
    </row>
    <row r="51" spans="1:8">
      <c r="C51" s="22" t="s">
        <v>46</v>
      </c>
      <c r="F51" s="2">
        <f>E40*9</f>
        <v>636.48</v>
      </c>
    </row>
    <row r="52" spans="1:8">
      <c r="C52" s="22" t="s">
        <v>47</v>
      </c>
      <c r="F52" s="14">
        <f>E40*6</f>
        <v>424.32</v>
      </c>
    </row>
    <row r="53" spans="1:8" ht="15">
      <c r="C53" s="12" t="s">
        <v>38</v>
      </c>
      <c r="F53" s="13">
        <f>SUM(F50:F52)</f>
        <v>1697.28</v>
      </c>
    </row>
    <row r="54" spans="1:8" ht="15">
      <c r="C54" s="12"/>
      <c r="F54" s="13"/>
    </row>
    <row r="55" spans="1:8" ht="15">
      <c r="B55" s="26" t="s">
        <v>39</v>
      </c>
      <c r="C55" s="12"/>
      <c r="F55" s="13"/>
    </row>
    <row r="56" spans="1:8" ht="15">
      <c r="C56" s="12"/>
      <c r="F56" s="13"/>
    </row>
    <row r="59" spans="1:8" ht="15.75">
      <c r="A59" s="10" t="s">
        <v>5</v>
      </c>
      <c r="B59" s="11"/>
      <c r="C59" s="11"/>
      <c r="D59" s="11"/>
      <c r="E59" s="11"/>
      <c r="F59" s="11"/>
      <c r="G59" s="11"/>
      <c r="H59" s="11"/>
    </row>
    <row r="60" spans="1:8" ht="15.75">
      <c r="A60" s="15"/>
    </row>
    <row r="61" spans="1:8" ht="15.75">
      <c r="A61" s="25">
        <v>41091</v>
      </c>
      <c r="B61" s="27" t="s">
        <v>29</v>
      </c>
    </row>
    <row r="62" spans="1:8" ht="15.75">
      <c r="A62" s="15"/>
      <c r="B62" s="22" t="s">
        <v>62</v>
      </c>
      <c r="C62" s="26"/>
      <c r="D62" s="24"/>
      <c r="E62" s="24"/>
      <c r="F62" s="24"/>
      <c r="G62" s="24"/>
    </row>
    <row r="63" spans="1:8" ht="15.75">
      <c r="A63" s="15"/>
      <c r="B63" s="22" t="s">
        <v>65</v>
      </c>
      <c r="C63" s="26"/>
      <c r="D63" s="24"/>
      <c r="E63" s="24"/>
      <c r="F63" s="24"/>
      <c r="G63" s="24"/>
    </row>
    <row r="64" spans="1:8" ht="15.75">
      <c r="A64" s="15"/>
      <c r="B64" s="22" t="s">
        <v>66</v>
      </c>
      <c r="C64" s="26"/>
      <c r="D64" s="24"/>
      <c r="E64" s="24"/>
      <c r="F64" s="24"/>
      <c r="G64" s="24"/>
    </row>
    <row r="65" spans="1:7" ht="15.75">
      <c r="A65" s="15"/>
      <c r="B65" s="22" t="s">
        <v>30</v>
      </c>
      <c r="C65" s="26"/>
      <c r="D65" s="24"/>
      <c r="E65" s="24"/>
      <c r="F65" s="24"/>
      <c r="G65" s="24"/>
    </row>
    <row r="66" spans="1:7" ht="15.75">
      <c r="A66" s="15"/>
      <c r="B66" s="22"/>
      <c r="C66" s="3"/>
    </row>
    <row r="68" spans="1:7" ht="15">
      <c r="B68" s="27" t="s">
        <v>31</v>
      </c>
    </row>
    <row r="70" spans="1:7">
      <c r="C70" t="s">
        <v>32</v>
      </c>
    </row>
    <row r="71" spans="1:7">
      <c r="C71" s="3" t="s">
        <v>61</v>
      </c>
      <c r="E71" s="2">
        <v>704</v>
      </c>
    </row>
    <row r="74" spans="1:7">
      <c r="C74" s="2">
        <v>16000</v>
      </c>
      <c r="D74" s="22" t="s">
        <v>33</v>
      </c>
    </row>
    <row r="75" spans="1:7">
      <c r="C75" s="28">
        <v>704</v>
      </c>
      <c r="D75" s="22" t="s">
        <v>34</v>
      </c>
    </row>
    <row r="76" spans="1:7">
      <c r="C76" s="4">
        <f>SUM(C74:C75)</f>
        <v>16704</v>
      </c>
      <c r="D76" s="22" t="s">
        <v>35</v>
      </c>
    </row>
    <row r="78" spans="1:7">
      <c r="B78" s="22" t="s">
        <v>63</v>
      </c>
    </row>
    <row r="84" spans="2:3">
      <c r="B84" s="5"/>
      <c r="C84" s="6"/>
    </row>
    <row r="85" spans="2:3">
      <c r="B85" s="5"/>
      <c r="C85" s="5"/>
    </row>
    <row r="86" spans="2:3">
      <c r="B86" s="5"/>
      <c r="C86" s="5"/>
    </row>
  </sheetData>
  <mergeCells count="3">
    <mergeCell ref="A1:H1"/>
    <mergeCell ref="A2:H2"/>
    <mergeCell ref="A3:H3"/>
  </mergeCells>
  <phoneticPr fontId="4" type="noConversion"/>
  <pageMargins left="0.5" right="0.5" top="0.25" bottom="0.5" header="0.5" footer="0.25"/>
  <pageSetup scale="95" orientation="portrait" horizontalDpi="4294967293" verticalDpi="300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2025-2026</vt:lpstr>
      <vt:lpstr>2022-2023</vt:lpstr>
      <vt:lpstr>2021-2022</vt:lpstr>
      <vt:lpstr>2020-2021 rates</vt:lpstr>
      <vt:lpstr>2019-2020 rates</vt:lpstr>
      <vt:lpstr>2018-2019 rates</vt:lpstr>
      <vt:lpstr>2017-18 rates</vt:lpstr>
      <vt:lpstr>2016-17 rates</vt:lpstr>
      <vt:lpstr>2015-16 rates</vt:lpstr>
      <vt:lpstr>2014-15 rates</vt:lpstr>
      <vt:lpstr>2013-14 tuition rates</vt:lpstr>
      <vt:lpstr>2011-12 academic year</vt:lpstr>
      <vt:lpstr>'2016-17 rates'!Print_Area</vt:lpstr>
    </vt:vector>
  </TitlesOfParts>
  <Company>UF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WEC</dc:creator>
  <cp:lastModifiedBy>Dyer,Donna K</cp:lastModifiedBy>
  <cp:lastPrinted>2022-07-07T21:21:24Z</cp:lastPrinted>
  <dcterms:created xsi:type="dcterms:W3CDTF">2006-11-06T20:46:46Z</dcterms:created>
  <dcterms:modified xsi:type="dcterms:W3CDTF">2025-09-11T19:32:22Z</dcterms:modified>
</cp:coreProperties>
</file>